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zfbf\tarefas\DEGEA1\Iochpe\backup\20211023\2021\arquivos_de_apoio\demonstrações_financeiras\"/>
    </mc:Choice>
  </mc:AlternateContent>
  <bookViews>
    <workbookView xWindow="0" yWindow="0" windowWidth="25920" windowHeight="9915" activeTab="3"/>
  </bookViews>
  <sheets>
    <sheet name="Iochpe_Anual_e_2_Tri" sheetId="3" r:id="rId1"/>
    <sheet name="Indicadores" sheetId="6" r:id="rId2"/>
    <sheet name="Ciclo_Financeiro" sheetId="7" r:id="rId3"/>
    <sheet name="Endividamento" sheetId="8" r:id="rId4"/>
    <sheet name="Iochpe_Trimestral_aux" sheetId="4" r:id="rId5"/>
    <sheet name="Iochpe_Anual" sheetId="1" r:id="rId6"/>
    <sheet name="Iochpe_2_Tri" sheetId="2" r:id="rId7"/>
    <sheet name="Iochpe_Trimestral" sheetId="5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K35" i="8" l="1"/>
  <c r="J35" i="8"/>
  <c r="I35" i="8"/>
  <c r="H35" i="8"/>
  <c r="G35" i="8"/>
  <c r="F35" i="8"/>
  <c r="E35" i="8"/>
  <c r="D35" i="8"/>
  <c r="C35" i="8"/>
  <c r="B35" i="8"/>
  <c r="K32" i="8"/>
  <c r="J32" i="8"/>
  <c r="I32" i="8"/>
  <c r="H32" i="8"/>
  <c r="G32" i="8"/>
  <c r="F32" i="8"/>
  <c r="E32" i="8"/>
  <c r="D32" i="8"/>
  <c r="C32" i="8"/>
  <c r="B32" i="8"/>
  <c r="K18" i="8"/>
  <c r="J18" i="8"/>
  <c r="I18" i="8"/>
  <c r="H18" i="8"/>
  <c r="G18" i="8"/>
  <c r="F18" i="8"/>
  <c r="E18" i="8"/>
  <c r="D18" i="8"/>
  <c r="C18" i="8"/>
  <c r="B18" i="8"/>
  <c r="B25" i="6"/>
  <c r="C25" i="6"/>
  <c r="D25" i="6"/>
  <c r="E25" i="6"/>
  <c r="F25" i="6"/>
  <c r="M25" i="6" s="1"/>
  <c r="G25" i="6"/>
  <c r="H25" i="6"/>
  <c r="I25" i="6"/>
  <c r="J25" i="6"/>
  <c r="K25" i="6"/>
  <c r="K16" i="8"/>
  <c r="K33" i="8" s="1"/>
  <c r="J16" i="8"/>
  <c r="J33" i="8" s="1"/>
  <c r="I16" i="8"/>
  <c r="H16" i="8"/>
  <c r="H33" i="8" s="1"/>
  <c r="G16" i="8"/>
  <c r="G33" i="8" s="1"/>
  <c r="F16" i="8"/>
  <c r="E16" i="8"/>
  <c r="D16" i="8"/>
  <c r="C16" i="8"/>
  <c r="C33" i="8" s="1"/>
  <c r="B16" i="8"/>
  <c r="B33" i="8" s="1"/>
  <c r="I33" i="8"/>
  <c r="I34" i="8" s="1"/>
  <c r="F33" i="8"/>
  <c r="E33" i="8"/>
  <c r="D33" i="8"/>
  <c r="K17" i="8"/>
  <c r="J17" i="8"/>
  <c r="I17" i="8"/>
  <c r="H17" i="8"/>
  <c r="G17" i="8"/>
  <c r="F17" i="8"/>
  <c r="E17" i="8"/>
  <c r="D17" i="8"/>
  <c r="C17" i="8"/>
  <c r="B17" i="8"/>
  <c r="K14" i="8"/>
  <c r="J14" i="8"/>
  <c r="I14" i="8"/>
  <c r="H14" i="8"/>
  <c r="G14" i="8"/>
  <c r="F14" i="8"/>
  <c r="E14" i="8"/>
  <c r="D14" i="8"/>
  <c r="C14" i="8"/>
  <c r="B14" i="8"/>
  <c r="F34" i="8"/>
  <c r="E34" i="8"/>
  <c r="AF31" i="8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30" i="8"/>
  <c r="Q26" i="8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K13" i="8"/>
  <c r="J13" i="8"/>
  <c r="I13" i="8"/>
  <c r="H13" i="8"/>
  <c r="G13" i="8"/>
  <c r="G31" i="8" s="1"/>
  <c r="F13" i="8"/>
  <c r="E13" i="8"/>
  <c r="E31" i="8" s="1"/>
  <c r="D13" i="8"/>
  <c r="D31" i="8" s="1"/>
  <c r="C13" i="8"/>
  <c r="B13" i="8"/>
  <c r="B31" i="8" s="1"/>
  <c r="K31" i="8"/>
  <c r="J31" i="8"/>
  <c r="I31" i="8"/>
  <c r="H31" i="8"/>
  <c r="F31" i="8"/>
  <c r="C31" i="8"/>
  <c r="K12" i="8"/>
  <c r="J12" i="8"/>
  <c r="I12" i="8"/>
  <c r="H12" i="8"/>
  <c r="G12" i="8"/>
  <c r="F12" i="8"/>
  <c r="E12" i="8"/>
  <c r="D12" i="8"/>
  <c r="C12" i="8"/>
  <c r="K11" i="8"/>
  <c r="J11" i="8"/>
  <c r="I11" i="8"/>
  <c r="H11" i="8"/>
  <c r="G11" i="8"/>
  <c r="F11" i="8"/>
  <c r="E11" i="8"/>
  <c r="D11" i="8"/>
  <c r="C11" i="8"/>
  <c r="B12" i="8"/>
  <c r="B11" i="8"/>
  <c r="J15" i="8"/>
  <c r="I15" i="8"/>
  <c r="H15" i="8"/>
  <c r="G15" i="8"/>
  <c r="F15" i="8"/>
  <c r="E15" i="8"/>
  <c r="D15" i="8"/>
  <c r="C15" i="8"/>
  <c r="K15" i="8"/>
  <c r="K10" i="8"/>
  <c r="J10" i="8"/>
  <c r="I10" i="8"/>
  <c r="H10" i="8"/>
  <c r="G10" i="8"/>
  <c r="F10" i="8"/>
  <c r="E10" i="8"/>
  <c r="D10" i="8"/>
  <c r="C10" i="8"/>
  <c r="B10" i="8"/>
  <c r="K29" i="8"/>
  <c r="J29" i="8"/>
  <c r="I29" i="8"/>
  <c r="H29" i="8"/>
  <c r="G29" i="8"/>
  <c r="F29" i="8"/>
  <c r="E29" i="8"/>
  <c r="D29" i="8"/>
  <c r="C29" i="8"/>
  <c r="K28" i="8"/>
  <c r="J28" i="8"/>
  <c r="I28" i="8"/>
  <c r="H28" i="8"/>
  <c r="G28" i="8"/>
  <c r="F28" i="8"/>
  <c r="E28" i="8"/>
  <c r="D28" i="8"/>
  <c r="C28" i="8"/>
  <c r="K27" i="8"/>
  <c r="J27" i="8"/>
  <c r="I27" i="8"/>
  <c r="H27" i="8"/>
  <c r="G27" i="8"/>
  <c r="F27" i="8"/>
  <c r="E27" i="8"/>
  <c r="D27" i="8"/>
  <c r="C27" i="8"/>
  <c r="K26" i="8"/>
  <c r="J26" i="8"/>
  <c r="I26" i="8"/>
  <c r="H26" i="8"/>
  <c r="G26" i="8"/>
  <c r="F26" i="8"/>
  <c r="E26" i="8"/>
  <c r="D26" i="8"/>
  <c r="C26" i="8"/>
  <c r="K25" i="8"/>
  <c r="J25" i="8"/>
  <c r="I25" i="8"/>
  <c r="H25" i="8"/>
  <c r="G25" i="8"/>
  <c r="F25" i="8"/>
  <c r="E25" i="8"/>
  <c r="D25" i="8"/>
  <c r="C25" i="8"/>
  <c r="B29" i="8"/>
  <c r="B28" i="8"/>
  <c r="B27" i="8"/>
  <c r="B26" i="8"/>
  <c r="B25" i="8"/>
  <c r="Q50" i="8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F5" i="8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K30" i="8"/>
  <c r="J30" i="8"/>
  <c r="I30" i="8"/>
  <c r="H30" i="8"/>
  <c r="G30" i="8"/>
  <c r="F30" i="8"/>
  <c r="E30" i="8"/>
  <c r="D30" i="8"/>
  <c r="C30" i="8"/>
  <c r="B30" i="8"/>
  <c r="K8" i="8"/>
  <c r="J8" i="8"/>
  <c r="I8" i="8"/>
  <c r="H8" i="8"/>
  <c r="G8" i="8"/>
  <c r="F8" i="8"/>
  <c r="E8" i="8"/>
  <c r="D8" i="8"/>
  <c r="C8" i="8"/>
  <c r="K7" i="8"/>
  <c r="K9" i="8" s="1"/>
  <c r="C7" i="8"/>
  <c r="C9" i="8" s="1"/>
  <c r="K6" i="8"/>
  <c r="J6" i="8"/>
  <c r="I6" i="8"/>
  <c r="H6" i="8"/>
  <c r="G6" i="8"/>
  <c r="F6" i="8"/>
  <c r="E6" i="8"/>
  <c r="D6" i="8"/>
  <c r="D7" i="8" s="1"/>
  <c r="D9" i="8" s="1"/>
  <c r="C6" i="8"/>
  <c r="K5" i="8"/>
  <c r="J5" i="8"/>
  <c r="J7" i="8" s="1"/>
  <c r="J9" i="8" s="1"/>
  <c r="I5" i="8"/>
  <c r="I7" i="8" s="1"/>
  <c r="I9" i="8" s="1"/>
  <c r="H5" i="8"/>
  <c r="H7" i="8" s="1"/>
  <c r="H9" i="8" s="1"/>
  <c r="G5" i="8"/>
  <c r="G7" i="8" s="1"/>
  <c r="G9" i="8" s="1"/>
  <c r="F5" i="8"/>
  <c r="F7" i="8" s="1"/>
  <c r="F9" i="8" s="1"/>
  <c r="E5" i="8"/>
  <c r="E7" i="8" s="1"/>
  <c r="E9" i="8" s="1"/>
  <c r="D5" i="8"/>
  <c r="C5" i="8"/>
  <c r="B9" i="8"/>
  <c r="B8" i="8"/>
  <c r="B7" i="8"/>
  <c r="B6" i="8"/>
  <c r="B5" i="8"/>
  <c r="N31" i="7"/>
  <c r="M31" i="7"/>
  <c r="N29" i="7"/>
  <c r="M29" i="7"/>
  <c r="K29" i="7"/>
  <c r="J29" i="7"/>
  <c r="I29" i="7"/>
  <c r="H29" i="7"/>
  <c r="G29" i="7"/>
  <c r="F29" i="7"/>
  <c r="E29" i="7"/>
  <c r="D29" i="7"/>
  <c r="C29" i="7"/>
  <c r="B29" i="7"/>
  <c r="Q45" i="7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25" i="7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R45" i="6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Q45" i="6"/>
  <c r="AF26" i="6"/>
  <c r="AF27" i="6" s="1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F39" i="6" s="1"/>
  <c r="AF40" i="6" s="1"/>
  <c r="AF41" i="6" s="1"/>
  <c r="AF42" i="6" s="1"/>
  <c r="AF43" i="6" s="1"/>
  <c r="AF25" i="6"/>
  <c r="N28" i="7"/>
  <c r="M28" i="7"/>
  <c r="K28" i="7"/>
  <c r="J28" i="7"/>
  <c r="I28" i="7"/>
  <c r="H28" i="7"/>
  <c r="G28" i="7"/>
  <c r="F28" i="7"/>
  <c r="E28" i="7"/>
  <c r="D28" i="7"/>
  <c r="C28" i="7"/>
  <c r="B28" i="7"/>
  <c r="K20" i="7"/>
  <c r="K27" i="7" s="1"/>
  <c r="J20" i="7"/>
  <c r="J27" i="7" s="1"/>
  <c r="I20" i="7"/>
  <c r="H20" i="7"/>
  <c r="G20" i="7"/>
  <c r="G27" i="7" s="1"/>
  <c r="F20" i="7"/>
  <c r="E20" i="7"/>
  <c r="D20" i="7"/>
  <c r="C20" i="7"/>
  <c r="C27" i="7" s="1"/>
  <c r="B20" i="7"/>
  <c r="B27" i="7" s="1"/>
  <c r="I27" i="7"/>
  <c r="H27" i="7"/>
  <c r="F27" i="7"/>
  <c r="E27" i="7"/>
  <c r="D27" i="7"/>
  <c r="K25" i="7"/>
  <c r="J25" i="7"/>
  <c r="I25" i="7"/>
  <c r="H25" i="7"/>
  <c r="G25" i="7"/>
  <c r="F25" i="7"/>
  <c r="E25" i="7"/>
  <c r="D25" i="7"/>
  <c r="C25" i="7"/>
  <c r="B25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B19" i="7"/>
  <c r="B18" i="7"/>
  <c r="K26" i="7"/>
  <c r="J26" i="7"/>
  <c r="I26" i="7"/>
  <c r="H26" i="7"/>
  <c r="G26" i="7"/>
  <c r="F26" i="7"/>
  <c r="E26" i="7"/>
  <c r="D26" i="7"/>
  <c r="C26" i="7"/>
  <c r="B26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C13" i="7"/>
  <c r="B13" i="7"/>
  <c r="K11" i="7"/>
  <c r="J11" i="7"/>
  <c r="I11" i="7"/>
  <c r="H11" i="7"/>
  <c r="G11" i="7"/>
  <c r="F11" i="7"/>
  <c r="E11" i="7"/>
  <c r="D11" i="7"/>
  <c r="C11" i="7"/>
  <c r="B11" i="7"/>
  <c r="I10" i="7"/>
  <c r="H10" i="7"/>
  <c r="G10" i="7"/>
  <c r="E10" i="7"/>
  <c r="D10" i="7"/>
  <c r="K9" i="7"/>
  <c r="K10" i="7" s="1"/>
  <c r="J9" i="7"/>
  <c r="J10" i="7" s="1"/>
  <c r="I9" i="7"/>
  <c r="H9" i="7"/>
  <c r="G9" i="7"/>
  <c r="F9" i="7"/>
  <c r="F10" i="7" s="1"/>
  <c r="E9" i="7"/>
  <c r="D9" i="7"/>
  <c r="C9" i="7"/>
  <c r="C10" i="7" s="1"/>
  <c r="B9" i="7"/>
  <c r="B10" i="7" s="1"/>
  <c r="K8" i="7"/>
  <c r="K12" i="7" s="1"/>
  <c r="J8" i="7"/>
  <c r="J12" i="7" s="1"/>
  <c r="I8" i="7"/>
  <c r="I12" i="7" s="1"/>
  <c r="H8" i="7"/>
  <c r="H12" i="7" s="1"/>
  <c r="G8" i="7"/>
  <c r="G12" i="7" s="1"/>
  <c r="F8" i="7"/>
  <c r="F12" i="7" s="1"/>
  <c r="E8" i="7"/>
  <c r="E12" i="7" s="1"/>
  <c r="D8" i="7"/>
  <c r="D12" i="7" s="1"/>
  <c r="C8" i="7"/>
  <c r="C12" i="7" s="1"/>
  <c r="B8" i="7"/>
  <c r="B12" i="7" s="1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N27" i="6"/>
  <c r="M27" i="6"/>
  <c r="N26" i="6"/>
  <c r="M26" i="6"/>
  <c r="K27" i="6"/>
  <c r="J27" i="6"/>
  <c r="I27" i="6"/>
  <c r="H27" i="6"/>
  <c r="G27" i="6"/>
  <c r="F27" i="6"/>
  <c r="E27" i="6"/>
  <c r="D27" i="6"/>
  <c r="C27" i="6"/>
  <c r="B27" i="6"/>
  <c r="D12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1" i="6"/>
  <c r="J11" i="6"/>
  <c r="I11" i="6"/>
  <c r="H11" i="6"/>
  <c r="G11" i="6"/>
  <c r="F11" i="6"/>
  <c r="E11" i="6"/>
  <c r="D11" i="6"/>
  <c r="C11" i="6"/>
  <c r="B11" i="6"/>
  <c r="H10" i="6"/>
  <c r="K9" i="6"/>
  <c r="K10" i="6" s="1"/>
  <c r="J9" i="6"/>
  <c r="J10" i="6" s="1"/>
  <c r="I9" i="6"/>
  <c r="I10" i="6" s="1"/>
  <c r="H9" i="6"/>
  <c r="G9" i="6"/>
  <c r="G10" i="6" s="1"/>
  <c r="F9" i="6"/>
  <c r="F10" i="6" s="1"/>
  <c r="E9" i="6"/>
  <c r="E10" i="6" s="1"/>
  <c r="D9" i="6"/>
  <c r="D10" i="6" s="1"/>
  <c r="C9" i="6"/>
  <c r="C10" i="6" s="1"/>
  <c r="B9" i="6"/>
  <c r="B10" i="6" s="1"/>
  <c r="D26" i="6"/>
  <c r="K8" i="6"/>
  <c r="K12" i="6" s="1"/>
  <c r="J8" i="6"/>
  <c r="J12" i="6" s="1"/>
  <c r="I8" i="6"/>
  <c r="I12" i="6" s="1"/>
  <c r="H8" i="6"/>
  <c r="H12" i="6" s="1"/>
  <c r="G8" i="6"/>
  <c r="G12" i="6" s="1"/>
  <c r="F8" i="6"/>
  <c r="F12" i="6" s="1"/>
  <c r="E8" i="6"/>
  <c r="E12" i="6" s="1"/>
  <c r="D8" i="6"/>
  <c r="C8" i="6"/>
  <c r="C12" i="6" s="1"/>
  <c r="B8" i="6"/>
  <c r="B12" i="6" s="1"/>
  <c r="K7" i="6"/>
  <c r="J7" i="6"/>
  <c r="I7" i="6"/>
  <c r="H7" i="6"/>
  <c r="G7" i="6"/>
  <c r="F7" i="6"/>
  <c r="E7" i="6"/>
  <c r="D7" i="6"/>
  <c r="C7" i="6"/>
  <c r="K6" i="6"/>
  <c r="K26" i="6" s="1"/>
  <c r="J6" i="6"/>
  <c r="J26" i="6" s="1"/>
  <c r="I6" i="6"/>
  <c r="I26" i="6" s="1"/>
  <c r="H6" i="6"/>
  <c r="H26" i="6" s="1"/>
  <c r="G6" i="6"/>
  <c r="F6" i="6"/>
  <c r="E6" i="6"/>
  <c r="D6" i="6"/>
  <c r="C6" i="6"/>
  <c r="C26" i="6" s="1"/>
  <c r="B7" i="6"/>
  <c r="B6" i="6"/>
  <c r="B26" i="6" s="1"/>
  <c r="K5" i="6"/>
  <c r="J5" i="6"/>
  <c r="I5" i="6"/>
  <c r="H5" i="6"/>
  <c r="G5" i="6"/>
  <c r="F5" i="6"/>
  <c r="E5" i="6"/>
  <c r="D5" i="6"/>
  <c r="C5" i="6"/>
  <c r="B5" i="6"/>
  <c r="H34" i="8" l="1"/>
  <c r="J34" i="8"/>
  <c r="G34" i="8"/>
  <c r="C34" i="8"/>
  <c r="K34" i="8"/>
  <c r="D34" i="8"/>
  <c r="B34" i="8"/>
  <c r="N25" i="6"/>
  <c r="N25" i="8"/>
  <c r="M25" i="8"/>
  <c r="N27" i="8"/>
  <c r="M27" i="8"/>
  <c r="M26" i="8"/>
  <c r="N26" i="8"/>
  <c r="M27" i="7"/>
  <c r="M25" i="7"/>
  <c r="N27" i="7"/>
  <c r="N25" i="7"/>
  <c r="M26" i="7"/>
  <c r="E26" i="6"/>
  <c r="F26" i="6"/>
  <c r="G26" i="6"/>
  <c r="K155" i="3"/>
  <c r="J155" i="3"/>
  <c r="I155" i="3"/>
  <c r="H155" i="3"/>
  <c r="G155" i="3"/>
  <c r="F155" i="3"/>
  <c r="E155" i="3"/>
  <c r="D155" i="3"/>
  <c r="C155" i="3"/>
  <c r="B155" i="3"/>
  <c r="B152" i="3"/>
  <c r="K107" i="3"/>
  <c r="K331" i="3"/>
  <c r="J331" i="3"/>
  <c r="I331" i="3"/>
  <c r="H331" i="3"/>
  <c r="G331" i="3"/>
  <c r="F331" i="3"/>
  <c r="E331" i="3"/>
  <c r="D331" i="3"/>
  <c r="C331" i="3"/>
  <c r="B331" i="3"/>
  <c r="K330" i="3"/>
  <c r="J330" i="3"/>
  <c r="I330" i="3"/>
  <c r="H330" i="3"/>
  <c r="G330" i="3"/>
  <c r="F330" i="3"/>
  <c r="E330" i="3"/>
  <c r="D330" i="3"/>
  <c r="C330" i="3"/>
  <c r="B330" i="3"/>
  <c r="K329" i="3"/>
  <c r="J329" i="3"/>
  <c r="I329" i="3"/>
  <c r="H329" i="3"/>
  <c r="G329" i="3"/>
  <c r="F329" i="3"/>
  <c r="E329" i="3"/>
  <c r="D329" i="3"/>
  <c r="C329" i="3"/>
  <c r="B329" i="3"/>
  <c r="N28" i="8" l="1"/>
  <c r="N31" i="8" s="1"/>
  <c r="M28" i="8"/>
  <c r="M29" i="8"/>
  <c r="N29" i="8"/>
  <c r="N26" i="7"/>
  <c r="K303" i="3"/>
  <c r="K304" i="3"/>
  <c r="K302" i="3"/>
  <c r="K301" i="3"/>
  <c r="K300" i="3"/>
  <c r="L301" i="3"/>
  <c r="L302" i="3"/>
  <c r="L303" i="3"/>
  <c r="L304" i="3"/>
  <c r="I304" i="3"/>
  <c r="I302" i="3"/>
  <c r="I301" i="3"/>
  <c r="I303" i="3"/>
  <c r="J301" i="3"/>
  <c r="J302" i="3"/>
  <c r="J303" i="3"/>
  <c r="G301" i="3"/>
  <c r="G302" i="3"/>
  <c r="G303" i="3"/>
  <c r="G304" i="3"/>
  <c r="H304" i="3"/>
  <c r="H303" i="3"/>
  <c r="H301" i="3"/>
  <c r="H302" i="3"/>
  <c r="E301" i="3"/>
  <c r="E302" i="3"/>
  <c r="E303" i="3"/>
  <c r="F301" i="3"/>
  <c r="F302" i="3"/>
  <c r="F303" i="3"/>
  <c r="C301" i="3"/>
  <c r="C302" i="3"/>
  <c r="C303" i="3"/>
  <c r="D301" i="3"/>
  <c r="D302" i="3"/>
  <c r="D303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M31" i="8" l="1"/>
  <c r="V299" i="3"/>
  <c r="U299" i="3"/>
  <c r="T299" i="3"/>
  <c r="S299" i="3"/>
  <c r="R299" i="3"/>
  <c r="Q299" i="3"/>
  <c r="P299" i="3"/>
  <c r="O299" i="3"/>
  <c r="N299" i="3"/>
  <c r="M299" i="3"/>
  <c r="K296" i="3"/>
  <c r="K297" i="3"/>
  <c r="K295" i="3"/>
  <c r="K309" i="3"/>
  <c r="K310" i="3"/>
  <c r="K311" i="3"/>
  <c r="K312" i="3"/>
  <c r="J312" i="3"/>
  <c r="I312" i="3"/>
  <c r="H312" i="3"/>
  <c r="G312" i="3"/>
  <c r="F312" i="3"/>
  <c r="E312" i="3"/>
  <c r="D312" i="3"/>
  <c r="C312" i="3"/>
  <c r="J311" i="3"/>
  <c r="I311" i="3"/>
  <c r="H311" i="3"/>
  <c r="G311" i="3"/>
  <c r="F311" i="3"/>
  <c r="E311" i="3"/>
  <c r="D311" i="3"/>
  <c r="C311" i="3"/>
  <c r="J310" i="3"/>
  <c r="I310" i="3"/>
  <c r="H310" i="3"/>
  <c r="G310" i="3"/>
  <c r="F310" i="3"/>
  <c r="E310" i="3"/>
  <c r="D310" i="3"/>
  <c r="C310" i="3"/>
  <c r="J309" i="3"/>
  <c r="I309" i="3"/>
  <c r="H309" i="3"/>
  <c r="G309" i="3"/>
  <c r="F309" i="3"/>
  <c r="E309" i="3"/>
  <c r="D309" i="3"/>
  <c r="C309" i="3"/>
  <c r="B309" i="3"/>
  <c r="B310" i="3"/>
  <c r="B311" i="3"/>
  <c r="B312" i="3"/>
  <c r="K306" i="3" l="1"/>
  <c r="V306" i="3" s="1"/>
  <c r="K305" i="3"/>
  <c r="V305" i="3" s="1"/>
  <c r="J306" i="3"/>
  <c r="U306" i="3" s="1"/>
  <c r="I306" i="3"/>
  <c r="T306" i="3" s="1"/>
  <c r="H306" i="3"/>
  <c r="S306" i="3" s="1"/>
  <c r="G306" i="3"/>
  <c r="R306" i="3" s="1"/>
  <c r="F306" i="3"/>
  <c r="Q306" i="3" s="1"/>
  <c r="E306" i="3"/>
  <c r="P306" i="3" s="1"/>
  <c r="D306" i="3"/>
  <c r="O306" i="3" s="1"/>
  <c r="C306" i="3"/>
  <c r="N306" i="3" s="1"/>
  <c r="J305" i="3"/>
  <c r="U305" i="3" s="1"/>
  <c r="I305" i="3"/>
  <c r="T305" i="3" s="1"/>
  <c r="H305" i="3"/>
  <c r="S305" i="3" s="1"/>
  <c r="G305" i="3"/>
  <c r="R305" i="3" s="1"/>
  <c r="F305" i="3"/>
  <c r="Q305" i="3" s="1"/>
  <c r="E305" i="3"/>
  <c r="P305" i="3" s="1"/>
  <c r="D305" i="3"/>
  <c r="O305" i="3" s="1"/>
  <c r="C305" i="3"/>
  <c r="N305" i="3" s="1"/>
  <c r="B306" i="3"/>
  <c r="M306" i="3" s="1"/>
  <c r="B305" i="3"/>
  <c r="M305" i="3" s="1"/>
  <c r="K289" i="3"/>
  <c r="V289" i="3" s="1"/>
  <c r="V310" i="3" s="1"/>
  <c r="K290" i="3"/>
  <c r="V290" i="3" s="1"/>
  <c r="K291" i="3"/>
  <c r="V291" i="3" s="1"/>
  <c r="K292" i="3"/>
  <c r="V292" i="3" s="1"/>
  <c r="K293" i="3"/>
  <c r="V293" i="3" s="1"/>
  <c r="K294" i="3"/>
  <c r="V294" i="3" s="1"/>
  <c r="V295" i="3"/>
  <c r="V311" i="3" s="1"/>
  <c r="V296" i="3"/>
  <c r="V297" i="3"/>
  <c r="V298" i="3"/>
  <c r="V300" i="3"/>
  <c r="V312" i="3" s="1"/>
  <c r="V301" i="3"/>
  <c r="V302" i="3"/>
  <c r="V303" i="3"/>
  <c r="V304" i="3"/>
  <c r="U304" i="3"/>
  <c r="T304" i="3"/>
  <c r="S304" i="3"/>
  <c r="R304" i="3"/>
  <c r="Q304" i="3"/>
  <c r="P304" i="3"/>
  <c r="O304" i="3"/>
  <c r="N304" i="3"/>
  <c r="U303" i="3"/>
  <c r="T303" i="3"/>
  <c r="S303" i="3"/>
  <c r="R303" i="3"/>
  <c r="Q303" i="3"/>
  <c r="P303" i="3"/>
  <c r="O303" i="3"/>
  <c r="N303" i="3"/>
  <c r="U302" i="3"/>
  <c r="T302" i="3"/>
  <c r="S302" i="3"/>
  <c r="R302" i="3"/>
  <c r="Q302" i="3"/>
  <c r="P302" i="3"/>
  <c r="O302" i="3"/>
  <c r="N302" i="3"/>
  <c r="U301" i="3"/>
  <c r="T301" i="3"/>
  <c r="S301" i="3"/>
  <c r="R301" i="3"/>
  <c r="Q301" i="3"/>
  <c r="P301" i="3"/>
  <c r="O301" i="3"/>
  <c r="N301" i="3"/>
  <c r="M304" i="3"/>
  <c r="M303" i="3"/>
  <c r="M302" i="3"/>
  <c r="M301" i="3"/>
  <c r="U300" i="3"/>
  <c r="U312" i="3" s="1"/>
  <c r="T300" i="3"/>
  <c r="T312" i="3" s="1"/>
  <c r="S300" i="3"/>
  <c r="S312" i="3" s="1"/>
  <c r="R300" i="3"/>
  <c r="R312" i="3" s="1"/>
  <c r="Q300" i="3"/>
  <c r="Q312" i="3" s="1"/>
  <c r="P300" i="3"/>
  <c r="P312" i="3" s="1"/>
  <c r="O300" i="3"/>
  <c r="O312" i="3" s="1"/>
  <c r="N300" i="3"/>
  <c r="N312" i="3" s="1"/>
  <c r="M300" i="3"/>
  <c r="U298" i="3"/>
  <c r="T298" i="3"/>
  <c r="S298" i="3"/>
  <c r="R298" i="3"/>
  <c r="U297" i="3"/>
  <c r="T297" i="3"/>
  <c r="S297" i="3"/>
  <c r="R297" i="3"/>
  <c r="U296" i="3"/>
  <c r="T296" i="3"/>
  <c r="S296" i="3"/>
  <c r="R296" i="3"/>
  <c r="P298" i="3"/>
  <c r="O298" i="3"/>
  <c r="N298" i="3"/>
  <c r="M298" i="3"/>
  <c r="P297" i="3"/>
  <c r="O297" i="3"/>
  <c r="N297" i="3"/>
  <c r="M297" i="3"/>
  <c r="P296" i="3"/>
  <c r="O296" i="3"/>
  <c r="N296" i="3"/>
  <c r="M296" i="3"/>
  <c r="Q296" i="3"/>
  <c r="Q298" i="3"/>
  <c r="Q297" i="3"/>
  <c r="U295" i="3"/>
  <c r="U311" i="3" s="1"/>
  <c r="T295" i="3"/>
  <c r="T311" i="3" s="1"/>
  <c r="S295" i="3"/>
  <c r="S311" i="3" s="1"/>
  <c r="R295" i="3"/>
  <c r="R311" i="3" s="1"/>
  <c r="Q295" i="3"/>
  <c r="Q311" i="3" s="1"/>
  <c r="P295" i="3"/>
  <c r="P311" i="3" s="1"/>
  <c r="O295" i="3"/>
  <c r="O311" i="3" s="1"/>
  <c r="N295" i="3"/>
  <c r="N311" i="3" s="1"/>
  <c r="M295" i="3"/>
  <c r="J294" i="3"/>
  <c r="U294" i="3" s="1"/>
  <c r="I294" i="3"/>
  <c r="T294" i="3" s="1"/>
  <c r="H294" i="3"/>
  <c r="S294" i="3" s="1"/>
  <c r="G294" i="3"/>
  <c r="R294" i="3" s="1"/>
  <c r="F294" i="3"/>
  <c r="Q294" i="3" s="1"/>
  <c r="E294" i="3"/>
  <c r="P294" i="3" s="1"/>
  <c r="D294" i="3"/>
  <c r="O294" i="3" s="1"/>
  <c r="C294" i="3"/>
  <c r="N294" i="3" s="1"/>
  <c r="B294" i="3"/>
  <c r="M294" i="3" s="1"/>
  <c r="J293" i="3"/>
  <c r="U293" i="3" s="1"/>
  <c r="I293" i="3"/>
  <c r="T293" i="3" s="1"/>
  <c r="H293" i="3"/>
  <c r="S293" i="3" s="1"/>
  <c r="G293" i="3"/>
  <c r="R293" i="3" s="1"/>
  <c r="E293" i="3"/>
  <c r="P293" i="3" s="1"/>
  <c r="D293" i="3"/>
  <c r="O293" i="3" s="1"/>
  <c r="C293" i="3"/>
  <c r="N293" i="3" s="1"/>
  <c r="B293" i="3"/>
  <c r="M293" i="3" s="1"/>
  <c r="F293" i="3"/>
  <c r="Q293" i="3" s="1"/>
  <c r="J292" i="3"/>
  <c r="U292" i="3" s="1"/>
  <c r="I292" i="3"/>
  <c r="T292" i="3" s="1"/>
  <c r="H292" i="3"/>
  <c r="S292" i="3" s="1"/>
  <c r="G292" i="3"/>
  <c r="R292" i="3" s="1"/>
  <c r="E292" i="3"/>
  <c r="P292" i="3" s="1"/>
  <c r="D292" i="3"/>
  <c r="O292" i="3" s="1"/>
  <c r="C292" i="3"/>
  <c r="N292" i="3" s="1"/>
  <c r="B292" i="3"/>
  <c r="M292" i="3" s="1"/>
  <c r="F292" i="3"/>
  <c r="Q292" i="3" s="1"/>
  <c r="J291" i="3"/>
  <c r="U291" i="3" s="1"/>
  <c r="I291" i="3"/>
  <c r="T291" i="3" s="1"/>
  <c r="H291" i="3"/>
  <c r="S291" i="3" s="1"/>
  <c r="G291" i="3"/>
  <c r="R291" i="3" s="1"/>
  <c r="E291" i="3"/>
  <c r="P291" i="3" s="1"/>
  <c r="D291" i="3"/>
  <c r="O291" i="3" s="1"/>
  <c r="C291" i="3"/>
  <c r="N291" i="3" s="1"/>
  <c r="B291" i="3"/>
  <c r="M291" i="3" s="1"/>
  <c r="F291" i="3"/>
  <c r="Q291" i="3" s="1"/>
  <c r="J290" i="3"/>
  <c r="U290" i="3" s="1"/>
  <c r="I290" i="3"/>
  <c r="T290" i="3" s="1"/>
  <c r="H290" i="3"/>
  <c r="S290" i="3" s="1"/>
  <c r="G290" i="3"/>
  <c r="R290" i="3" s="1"/>
  <c r="E290" i="3"/>
  <c r="P290" i="3" s="1"/>
  <c r="D290" i="3"/>
  <c r="O290" i="3" s="1"/>
  <c r="C290" i="3"/>
  <c r="N290" i="3" s="1"/>
  <c r="B290" i="3"/>
  <c r="M290" i="3" s="1"/>
  <c r="F290" i="3"/>
  <c r="Q290" i="3" s="1"/>
  <c r="J289" i="3"/>
  <c r="U289" i="3" s="1"/>
  <c r="U310" i="3" s="1"/>
  <c r="I289" i="3"/>
  <c r="T289" i="3" s="1"/>
  <c r="T310" i="3" s="1"/>
  <c r="H289" i="3"/>
  <c r="S289" i="3" s="1"/>
  <c r="S310" i="3" s="1"/>
  <c r="G289" i="3"/>
  <c r="R289" i="3" s="1"/>
  <c r="R310" i="3" s="1"/>
  <c r="F289" i="3"/>
  <c r="Q289" i="3" s="1"/>
  <c r="Q310" i="3" s="1"/>
  <c r="E289" i="3"/>
  <c r="P289" i="3" s="1"/>
  <c r="P310" i="3" s="1"/>
  <c r="D289" i="3"/>
  <c r="O289" i="3" s="1"/>
  <c r="O310" i="3" s="1"/>
  <c r="C289" i="3"/>
  <c r="N289" i="3" s="1"/>
  <c r="N310" i="3" s="1"/>
  <c r="B289" i="3"/>
  <c r="M289" i="3" s="1"/>
  <c r="Y312" i="3" l="1"/>
  <c r="X312" i="3"/>
  <c r="Y311" i="3"/>
  <c r="X311" i="3"/>
  <c r="Y310" i="3"/>
  <c r="X310" i="3"/>
  <c r="O259" i="3"/>
  <c r="O254" i="3"/>
  <c r="O253" i="3"/>
  <c r="O252" i="3"/>
  <c r="O251" i="3"/>
  <c r="O249" i="3"/>
  <c r="K244" i="3"/>
  <c r="K243" i="3"/>
  <c r="K242" i="3"/>
  <c r="K241" i="3"/>
  <c r="K240" i="3"/>
  <c r="K238" i="3"/>
  <c r="K237" i="3"/>
  <c r="K236" i="3"/>
  <c r="K235" i="3"/>
  <c r="K234" i="3"/>
  <c r="K233" i="3"/>
  <c r="K232" i="3"/>
  <c r="K262" i="3" s="1"/>
  <c r="V262" i="3" s="1"/>
  <c r="K231" i="3"/>
  <c r="K229" i="3"/>
  <c r="K228" i="3"/>
  <c r="K227" i="3"/>
  <c r="K226" i="3"/>
  <c r="K225" i="3"/>
  <c r="K224" i="3"/>
  <c r="K223" i="3"/>
  <c r="K261" i="3" s="1"/>
  <c r="V261" i="3" s="1"/>
  <c r="K222" i="3"/>
  <c r="K220" i="3"/>
  <c r="K219" i="3"/>
  <c r="K218" i="3"/>
  <c r="K217" i="3"/>
  <c r="K216" i="3"/>
  <c r="K215" i="3"/>
  <c r="K214" i="3"/>
  <c r="K260" i="3" s="1"/>
  <c r="V260" i="3" s="1"/>
  <c r="K213" i="3"/>
  <c r="K211" i="3"/>
  <c r="K210" i="3"/>
  <c r="K209" i="3"/>
  <c r="K252" i="3" s="1"/>
  <c r="V252" i="3" s="1"/>
  <c r="K208" i="3"/>
  <c r="K251" i="3" s="1"/>
  <c r="V251" i="3" s="1"/>
  <c r="K207" i="3"/>
  <c r="K250" i="3" s="1"/>
  <c r="V250" i="3" s="1"/>
  <c r="K206" i="3"/>
  <c r="K205" i="3"/>
  <c r="K259" i="3" s="1"/>
  <c r="V259" i="3" s="1"/>
  <c r="K204" i="3"/>
  <c r="K202" i="3"/>
  <c r="K10" i="3"/>
  <c r="K11" i="3"/>
  <c r="K12" i="3"/>
  <c r="K15" i="3"/>
  <c r="K16" i="3"/>
  <c r="K17" i="3"/>
  <c r="K24" i="3"/>
  <c r="K23" i="3" s="1"/>
  <c r="K25" i="3"/>
  <c r="K27" i="3"/>
  <c r="K32" i="3"/>
  <c r="K33" i="3"/>
  <c r="K34" i="3"/>
  <c r="K35" i="3"/>
  <c r="K36" i="3"/>
  <c r="K37" i="3"/>
  <c r="K39" i="3"/>
  <c r="K40" i="3"/>
  <c r="K41" i="3"/>
  <c r="K42" i="3"/>
  <c r="K43" i="3"/>
  <c r="K46" i="3"/>
  <c r="K48" i="3"/>
  <c r="K49" i="3"/>
  <c r="K50" i="3"/>
  <c r="K51" i="3"/>
  <c r="K54" i="3"/>
  <c r="K55" i="3"/>
  <c r="K56" i="3"/>
  <c r="K59" i="3"/>
  <c r="K60" i="3"/>
  <c r="K61" i="3"/>
  <c r="K62" i="3"/>
  <c r="K71" i="3"/>
  <c r="K72" i="3"/>
  <c r="K75" i="3"/>
  <c r="K76" i="3"/>
  <c r="K77" i="3"/>
  <c r="K78" i="3"/>
  <c r="K79" i="3"/>
  <c r="K82" i="3"/>
  <c r="K83" i="3"/>
  <c r="K86" i="3"/>
  <c r="K87" i="3"/>
  <c r="K90" i="3"/>
  <c r="K92" i="3"/>
  <c r="K95" i="3"/>
  <c r="K118" i="3"/>
  <c r="K120" i="3"/>
  <c r="K128" i="3"/>
  <c r="K129" i="3"/>
  <c r="K130" i="3"/>
  <c r="J314" i="4"/>
  <c r="I314" i="4"/>
  <c r="H314" i="4"/>
  <c r="G314" i="4"/>
  <c r="J313" i="4"/>
  <c r="I313" i="4"/>
  <c r="H313" i="4"/>
  <c r="G313" i="4"/>
  <c r="J312" i="4"/>
  <c r="I312" i="4"/>
  <c r="H312" i="4"/>
  <c r="G312" i="4"/>
  <c r="J311" i="4"/>
  <c r="I311" i="4"/>
  <c r="H311" i="4"/>
  <c r="G311" i="4"/>
  <c r="J310" i="4"/>
  <c r="I310" i="4"/>
  <c r="H310" i="4"/>
  <c r="G310" i="4"/>
  <c r="J309" i="4"/>
  <c r="I309" i="4"/>
  <c r="H309" i="4"/>
  <c r="G309" i="4"/>
  <c r="J308" i="4"/>
  <c r="I308" i="4"/>
  <c r="H308" i="4"/>
  <c r="G308" i="4"/>
  <c r="J307" i="4"/>
  <c r="I307" i="4"/>
  <c r="H307" i="4"/>
  <c r="G307" i="4"/>
  <c r="J304" i="4"/>
  <c r="I304" i="4"/>
  <c r="H304" i="4"/>
  <c r="G304" i="4"/>
  <c r="J303" i="4"/>
  <c r="I303" i="4"/>
  <c r="H303" i="4"/>
  <c r="G303" i="4"/>
  <c r="J302" i="4"/>
  <c r="I302" i="4"/>
  <c r="H302" i="4"/>
  <c r="G302" i="4"/>
  <c r="J301" i="4"/>
  <c r="I301" i="4"/>
  <c r="H301" i="4"/>
  <c r="G301" i="4"/>
  <c r="J300" i="4"/>
  <c r="I300" i="4"/>
  <c r="H300" i="4"/>
  <c r="G300" i="4"/>
  <c r="J298" i="4"/>
  <c r="I298" i="4"/>
  <c r="H298" i="4"/>
  <c r="G298" i="4"/>
  <c r="J297" i="4"/>
  <c r="I297" i="4"/>
  <c r="H297" i="4"/>
  <c r="G297" i="4"/>
  <c r="J296" i="4"/>
  <c r="I296" i="4"/>
  <c r="H296" i="4"/>
  <c r="G296" i="4"/>
  <c r="J295" i="4"/>
  <c r="I295" i="4"/>
  <c r="H295" i="4"/>
  <c r="G295" i="4"/>
  <c r="J294" i="4"/>
  <c r="I294" i="4"/>
  <c r="H294" i="4"/>
  <c r="G294" i="4"/>
  <c r="J293" i="4"/>
  <c r="I293" i="4"/>
  <c r="H293" i="4"/>
  <c r="G293" i="4"/>
  <c r="J292" i="4"/>
  <c r="I292" i="4"/>
  <c r="H292" i="4"/>
  <c r="G292" i="4"/>
  <c r="J291" i="4"/>
  <c r="I291" i="4"/>
  <c r="H291" i="4"/>
  <c r="G291" i="4"/>
  <c r="J289" i="4"/>
  <c r="I289" i="4"/>
  <c r="H289" i="4"/>
  <c r="G289" i="4"/>
  <c r="J288" i="4"/>
  <c r="I288" i="4"/>
  <c r="H288" i="4"/>
  <c r="G288" i="4"/>
  <c r="J287" i="4"/>
  <c r="I287" i="4"/>
  <c r="H287" i="4"/>
  <c r="G287" i="4"/>
  <c r="J286" i="4"/>
  <c r="I286" i="4"/>
  <c r="H286" i="4"/>
  <c r="G286" i="4"/>
  <c r="J285" i="4"/>
  <c r="I285" i="4"/>
  <c r="H285" i="4"/>
  <c r="G285" i="4"/>
  <c r="J284" i="4"/>
  <c r="I284" i="4"/>
  <c r="H284" i="4"/>
  <c r="G284" i="4"/>
  <c r="J283" i="4"/>
  <c r="I283" i="4"/>
  <c r="H283" i="4"/>
  <c r="G283" i="4"/>
  <c r="J282" i="4"/>
  <c r="I282" i="4"/>
  <c r="H282" i="4"/>
  <c r="G282" i="4"/>
  <c r="J280" i="4"/>
  <c r="I280" i="4"/>
  <c r="H280" i="4"/>
  <c r="G280" i="4"/>
  <c r="J279" i="4"/>
  <c r="I279" i="4"/>
  <c r="H279" i="4"/>
  <c r="G279" i="4"/>
  <c r="J278" i="4"/>
  <c r="I278" i="4"/>
  <c r="H278" i="4"/>
  <c r="G278" i="4"/>
  <c r="J277" i="4"/>
  <c r="I277" i="4"/>
  <c r="H277" i="4"/>
  <c r="G277" i="4"/>
  <c r="J276" i="4"/>
  <c r="I276" i="4"/>
  <c r="H276" i="4"/>
  <c r="G276" i="4"/>
  <c r="J275" i="4"/>
  <c r="I275" i="4"/>
  <c r="H275" i="4"/>
  <c r="G275" i="4"/>
  <c r="J274" i="4"/>
  <c r="I274" i="4"/>
  <c r="H274" i="4"/>
  <c r="G274" i="4"/>
  <c r="J273" i="4"/>
  <c r="I273" i="4"/>
  <c r="H273" i="4"/>
  <c r="G273" i="4"/>
  <c r="J271" i="4"/>
  <c r="I271" i="4"/>
  <c r="H271" i="4"/>
  <c r="G271" i="4"/>
  <c r="J270" i="4"/>
  <c r="I270" i="4"/>
  <c r="H270" i="4"/>
  <c r="G270" i="4"/>
  <c r="J269" i="4"/>
  <c r="I269" i="4"/>
  <c r="H269" i="4"/>
  <c r="G269" i="4"/>
  <c r="J268" i="4"/>
  <c r="I268" i="4"/>
  <c r="H268" i="4"/>
  <c r="G268" i="4"/>
  <c r="J267" i="4"/>
  <c r="I267" i="4"/>
  <c r="H267" i="4"/>
  <c r="G267" i="4"/>
  <c r="J266" i="4"/>
  <c r="I266" i="4"/>
  <c r="H266" i="4"/>
  <c r="G266" i="4"/>
  <c r="J265" i="4"/>
  <c r="I265" i="4"/>
  <c r="H265" i="4"/>
  <c r="G265" i="4"/>
  <c r="J264" i="4"/>
  <c r="I264" i="4"/>
  <c r="H264" i="4"/>
  <c r="G264" i="4"/>
  <c r="J262" i="4"/>
  <c r="I262" i="4"/>
  <c r="H262" i="4"/>
  <c r="G262" i="4"/>
  <c r="J261" i="4"/>
  <c r="I261" i="4"/>
  <c r="H261" i="4"/>
  <c r="G261" i="4"/>
  <c r="K314" i="4"/>
  <c r="K313" i="4"/>
  <c r="K312" i="4"/>
  <c r="K311" i="4"/>
  <c r="K310" i="4"/>
  <c r="K309" i="4"/>
  <c r="K308" i="4"/>
  <c r="K307" i="4"/>
  <c r="K304" i="4"/>
  <c r="K303" i="4"/>
  <c r="K302" i="4"/>
  <c r="K301" i="4"/>
  <c r="K300" i="4"/>
  <c r="K298" i="4"/>
  <c r="K297" i="4"/>
  <c r="K296" i="4"/>
  <c r="K295" i="4"/>
  <c r="K294" i="4"/>
  <c r="K293" i="4"/>
  <c r="K292" i="4"/>
  <c r="K291" i="4"/>
  <c r="K289" i="4"/>
  <c r="K288" i="4"/>
  <c r="K287" i="4"/>
  <c r="K286" i="4"/>
  <c r="K285" i="4"/>
  <c r="K284" i="4"/>
  <c r="K283" i="4"/>
  <c r="K282" i="4"/>
  <c r="K280" i="4"/>
  <c r="K279" i="4"/>
  <c r="K278" i="4"/>
  <c r="K277" i="4"/>
  <c r="K276" i="4"/>
  <c r="K275" i="4"/>
  <c r="K274" i="4"/>
  <c r="K273" i="4"/>
  <c r="K270" i="4"/>
  <c r="K271" i="4"/>
  <c r="K269" i="4"/>
  <c r="K268" i="4"/>
  <c r="K267" i="4"/>
  <c r="K266" i="4"/>
  <c r="K265" i="4"/>
  <c r="K264" i="4"/>
  <c r="K262" i="4"/>
  <c r="K261" i="4"/>
  <c r="K247" i="4"/>
  <c r="J247" i="4"/>
  <c r="I247" i="4"/>
  <c r="H247" i="4"/>
  <c r="G247" i="4"/>
  <c r="F247" i="4"/>
  <c r="E247" i="4"/>
  <c r="D247" i="4"/>
  <c r="C247" i="4"/>
  <c r="B247" i="4"/>
  <c r="K214" i="4"/>
  <c r="J214" i="4"/>
  <c r="I214" i="4"/>
  <c r="H214" i="4"/>
  <c r="G214" i="4"/>
  <c r="F214" i="4"/>
  <c r="E214" i="4"/>
  <c r="D214" i="4"/>
  <c r="C214" i="4"/>
  <c r="B214" i="4"/>
  <c r="K223" i="4"/>
  <c r="J223" i="4"/>
  <c r="I223" i="4"/>
  <c r="H223" i="4"/>
  <c r="G223" i="4"/>
  <c r="F223" i="4"/>
  <c r="E223" i="4"/>
  <c r="D223" i="4"/>
  <c r="C223" i="4"/>
  <c r="B223" i="4"/>
  <c r="K232" i="4"/>
  <c r="J232" i="4"/>
  <c r="I232" i="4"/>
  <c r="H232" i="4"/>
  <c r="G232" i="4"/>
  <c r="F232" i="4"/>
  <c r="E232" i="4"/>
  <c r="D232" i="4"/>
  <c r="C232" i="4"/>
  <c r="B232" i="4"/>
  <c r="K241" i="4"/>
  <c r="J241" i="4"/>
  <c r="I241" i="4"/>
  <c r="H241" i="4"/>
  <c r="G241" i="4"/>
  <c r="F241" i="4"/>
  <c r="E241" i="4"/>
  <c r="D241" i="4"/>
  <c r="C241" i="4"/>
  <c r="K205" i="4"/>
  <c r="J205" i="4"/>
  <c r="I205" i="4"/>
  <c r="H205" i="4"/>
  <c r="G205" i="4"/>
  <c r="F205" i="4"/>
  <c r="E205" i="4"/>
  <c r="D205" i="4"/>
  <c r="C205" i="4"/>
  <c r="K130" i="4"/>
  <c r="J130" i="4"/>
  <c r="I130" i="4"/>
  <c r="H130" i="4"/>
  <c r="G130" i="4"/>
  <c r="F130" i="4"/>
  <c r="E130" i="4"/>
  <c r="D130" i="4"/>
  <c r="C130" i="4"/>
  <c r="K129" i="4"/>
  <c r="K127" i="4" s="1"/>
  <c r="K133" i="4" s="1"/>
  <c r="K140" i="4" s="1"/>
  <c r="V140" i="4" s="1"/>
  <c r="J129" i="4"/>
  <c r="I129" i="4"/>
  <c r="H129" i="4"/>
  <c r="G129" i="4"/>
  <c r="F129" i="4"/>
  <c r="E129" i="4"/>
  <c r="E127" i="4" s="1"/>
  <c r="E133" i="4" s="1"/>
  <c r="D129" i="4"/>
  <c r="C129" i="4"/>
  <c r="C127" i="4" s="1"/>
  <c r="K128" i="4"/>
  <c r="J128" i="4"/>
  <c r="I128" i="4"/>
  <c r="H128" i="4"/>
  <c r="H127" i="4" s="1"/>
  <c r="G128" i="4"/>
  <c r="F128" i="4"/>
  <c r="F127" i="4" s="1"/>
  <c r="F133" i="4" s="1"/>
  <c r="E128" i="4"/>
  <c r="D128" i="4"/>
  <c r="D127" i="4" s="1"/>
  <c r="D133" i="4" s="1"/>
  <c r="C128" i="4"/>
  <c r="J127" i="4"/>
  <c r="I127" i="4"/>
  <c r="G127" i="4"/>
  <c r="K120" i="4"/>
  <c r="J120" i="4"/>
  <c r="I120" i="4"/>
  <c r="H120" i="4"/>
  <c r="H138" i="4" s="1"/>
  <c r="S138" i="4" s="1"/>
  <c r="G120" i="4"/>
  <c r="F120" i="4"/>
  <c r="E120" i="4"/>
  <c r="D120" i="4"/>
  <c r="C120" i="4"/>
  <c r="K95" i="4"/>
  <c r="J95" i="4"/>
  <c r="J177" i="4" s="1"/>
  <c r="I95" i="4"/>
  <c r="H95" i="4"/>
  <c r="G95" i="4"/>
  <c r="F95" i="4"/>
  <c r="E95" i="4"/>
  <c r="D95" i="4"/>
  <c r="C95" i="4"/>
  <c r="K92" i="4"/>
  <c r="J92" i="4"/>
  <c r="I92" i="4"/>
  <c r="H92" i="4"/>
  <c r="G92" i="4"/>
  <c r="F92" i="4"/>
  <c r="E92" i="4"/>
  <c r="D92" i="4"/>
  <c r="O92" i="4" s="1"/>
  <c r="C92" i="4"/>
  <c r="K90" i="4"/>
  <c r="J90" i="4"/>
  <c r="I90" i="4"/>
  <c r="H90" i="4"/>
  <c r="G90" i="4"/>
  <c r="F90" i="4"/>
  <c r="Q90" i="4" s="1"/>
  <c r="E90" i="4"/>
  <c r="D90" i="4"/>
  <c r="C90" i="4"/>
  <c r="K87" i="4"/>
  <c r="J87" i="4"/>
  <c r="I87" i="4"/>
  <c r="H87" i="4"/>
  <c r="H85" i="4" s="1"/>
  <c r="G87" i="4"/>
  <c r="F87" i="4"/>
  <c r="F85" i="4" s="1"/>
  <c r="E87" i="4"/>
  <c r="D87" i="4"/>
  <c r="C87" i="4"/>
  <c r="K86" i="4"/>
  <c r="K85" i="4" s="1"/>
  <c r="V85" i="4" s="1"/>
  <c r="J86" i="4"/>
  <c r="I86" i="4"/>
  <c r="I85" i="4" s="1"/>
  <c r="T85" i="4" s="1"/>
  <c r="H86" i="4"/>
  <c r="G86" i="4"/>
  <c r="G85" i="4" s="1"/>
  <c r="F86" i="4"/>
  <c r="E86" i="4"/>
  <c r="D86" i="4"/>
  <c r="D85" i="4" s="1"/>
  <c r="O85" i="4" s="1"/>
  <c r="C86" i="4"/>
  <c r="C85" i="4" s="1"/>
  <c r="N85" i="4" s="1"/>
  <c r="J85" i="4"/>
  <c r="E85" i="4"/>
  <c r="K83" i="4"/>
  <c r="J83" i="4"/>
  <c r="J81" i="4" s="1"/>
  <c r="I83" i="4"/>
  <c r="H83" i="4"/>
  <c r="G83" i="4"/>
  <c r="F83" i="4"/>
  <c r="E83" i="4"/>
  <c r="D83" i="4"/>
  <c r="D81" i="4" s="1"/>
  <c r="C83" i="4"/>
  <c r="K82" i="4"/>
  <c r="K81" i="4" s="1"/>
  <c r="J82" i="4"/>
  <c r="I82" i="4"/>
  <c r="H82" i="4"/>
  <c r="H81" i="4" s="1"/>
  <c r="G82" i="4"/>
  <c r="G81" i="4" s="1"/>
  <c r="F82" i="4"/>
  <c r="E82" i="4"/>
  <c r="E81" i="4" s="1"/>
  <c r="D82" i="4"/>
  <c r="C82" i="4"/>
  <c r="C81" i="4" s="1"/>
  <c r="I81" i="4"/>
  <c r="F81" i="4"/>
  <c r="K79" i="4"/>
  <c r="J79" i="4"/>
  <c r="I79" i="4"/>
  <c r="H79" i="4"/>
  <c r="S79" i="4" s="1"/>
  <c r="G79" i="4"/>
  <c r="F79" i="4"/>
  <c r="E79" i="4"/>
  <c r="D79" i="4"/>
  <c r="C79" i="4"/>
  <c r="K78" i="4"/>
  <c r="J78" i="4"/>
  <c r="I78" i="4"/>
  <c r="T78" i="4" s="1"/>
  <c r="H78" i="4"/>
  <c r="G78" i="4"/>
  <c r="F78" i="4"/>
  <c r="E78" i="4"/>
  <c r="D78" i="4"/>
  <c r="C78" i="4"/>
  <c r="K77" i="4"/>
  <c r="J77" i="4"/>
  <c r="U77" i="4" s="1"/>
  <c r="I77" i="4"/>
  <c r="H77" i="4"/>
  <c r="G77" i="4"/>
  <c r="F77" i="4"/>
  <c r="E77" i="4"/>
  <c r="D77" i="4"/>
  <c r="C77" i="4"/>
  <c r="K76" i="4"/>
  <c r="K74" i="4" s="1"/>
  <c r="J76" i="4"/>
  <c r="I76" i="4"/>
  <c r="I74" i="4" s="1"/>
  <c r="T74" i="4" s="1"/>
  <c r="H76" i="4"/>
  <c r="G76" i="4"/>
  <c r="F76" i="4"/>
  <c r="E76" i="4"/>
  <c r="D76" i="4"/>
  <c r="C76" i="4"/>
  <c r="C74" i="4" s="1"/>
  <c r="K75" i="4"/>
  <c r="J75" i="4"/>
  <c r="J74" i="4" s="1"/>
  <c r="I75" i="4"/>
  <c r="H75" i="4"/>
  <c r="G75" i="4"/>
  <c r="G74" i="4" s="1"/>
  <c r="R74" i="4" s="1"/>
  <c r="F75" i="4"/>
  <c r="F74" i="4" s="1"/>
  <c r="Q74" i="4" s="1"/>
  <c r="E75" i="4"/>
  <c r="D75" i="4"/>
  <c r="D74" i="4" s="1"/>
  <c r="O74" i="4" s="1"/>
  <c r="C75" i="4"/>
  <c r="E74" i="4"/>
  <c r="I73" i="4"/>
  <c r="F73" i="4"/>
  <c r="F80" i="4" s="1"/>
  <c r="D73" i="4"/>
  <c r="D80" i="4" s="1"/>
  <c r="K72" i="4"/>
  <c r="J72" i="4"/>
  <c r="I72" i="4"/>
  <c r="H72" i="4"/>
  <c r="G72" i="4"/>
  <c r="R72" i="4" s="1"/>
  <c r="F72" i="4"/>
  <c r="E72" i="4"/>
  <c r="E73" i="4" s="1"/>
  <c r="E80" i="4" s="1"/>
  <c r="D72" i="4"/>
  <c r="C72" i="4"/>
  <c r="K71" i="4"/>
  <c r="K73" i="4" s="1"/>
  <c r="K80" i="4" s="1"/>
  <c r="J71" i="4"/>
  <c r="J73" i="4" s="1"/>
  <c r="I71" i="4"/>
  <c r="H71" i="4"/>
  <c r="H73" i="4" s="1"/>
  <c r="G71" i="4"/>
  <c r="G73" i="4" s="1"/>
  <c r="F71" i="4"/>
  <c r="E71" i="4"/>
  <c r="D71" i="4"/>
  <c r="C71" i="4"/>
  <c r="C73" i="4" s="1"/>
  <c r="C80" i="4" s="1"/>
  <c r="I66" i="4"/>
  <c r="J65" i="4"/>
  <c r="K63" i="4"/>
  <c r="C63" i="4"/>
  <c r="K62" i="4"/>
  <c r="J62" i="4"/>
  <c r="I62" i="4"/>
  <c r="H62" i="4"/>
  <c r="G62" i="4"/>
  <c r="F62" i="4"/>
  <c r="E62" i="4"/>
  <c r="D62" i="4"/>
  <c r="C62" i="4"/>
  <c r="K61" i="4"/>
  <c r="J61" i="4"/>
  <c r="I61" i="4"/>
  <c r="H61" i="4"/>
  <c r="G61" i="4"/>
  <c r="F61" i="4"/>
  <c r="E61" i="4"/>
  <c r="P61" i="4" s="1"/>
  <c r="D61" i="4"/>
  <c r="C61" i="4"/>
  <c r="K60" i="4"/>
  <c r="J60" i="4"/>
  <c r="I60" i="4"/>
  <c r="H60" i="4"/>
  <c r="G60" i="4"/>
  <c r="F60" i="4"/>
  <c r="Q60" i="4" s="1"/>
  <c r="E60" i="4"/>
  <c r="D60" i="4"/>
  <c r="C60" i="4"/>
  <c r="K59" i="4"/>
  <c r="J59" i="4"/>
  <c r="J63" i="4" s="1"/>
  <c r="I59" i="4"/>
  <c r="I63" i="4" s="1"/>
  <c r="T63" i="4" s="1"/>
  <c r="H59" i="4"/>
  <c r="H63" i="4" s="1"/>
  <c r="G59" i="4"/>
  <c r="G63" i="4" s="1"/>
  <c r="R63" i="4" s="1"/>
  <c r="F59" i="4"/>
  <c r="F63" i="4" s="1"/>
  <c r="E59" i="4"/>
  <c r="E63" i="4" s="1"/>
  <c r="P63" i="4" s="1"/>
  <c r="D59" i="4"/>
  <c r="D63" i="4" s="1"/>
  <c r="C59" i="4"/>
  <c r="H57" i="4"/>
  <c r="S57" i="4" s="1"/>
  <c r="G57" i="4"/>
  <c r="K56" i="4"/>
  <c r="J56" i="4"/>
  <c r="I56" i="4"/>
  <c r="T56" i="4" s="1"/>
  <c r="H56" i="4"/>
  <c r="G56" i="4"/>
  <c r="F56" i="4"/>
  <c r="E56" i="4"/>
  <c r="D56" i="4"/>
  <c r="C56" i="4"/>
  <c r="K55" i="4"/>
  <c r="J55" i="4"/>
  <c r="U55" i="4" s="1"/>
  <c r="I55" i="4"/>
  <c r="H55" i="4"/>
  <c r="G55" i="4"/>
  <c r="F55" i="4"/>
  <c r="E55" i="4"/>
  <c r="D55" i="4"/>
  <c r="C55" i="4"/>
  <c r="K54" i="4"/>
  <c r="K57" i="4" s="1"/>
  <c r="V57" i="4" s="1"/>
  <c r="J54" i="4"/>
  <c r="J57" i="4" s="1"/>
  <c r="U57" i="4" s="1"/>
  <c r="I54" i="4"/>
  <c r="I57" i="4" s="1"/>
  <c r="H54" i="4"/>
  <c r="G54" i="4"/>
  <c r="F54" i="4"/>
  <c r="F57" i="4" s="1"/>
  <c r="Q57" i="4" s="1"/>
  <c r="E54" i="4"/>
  <c r="E57" i="4" s="1"/>
  <c r="P57" i="4" s="1"/>
  <c r="D54" i="4"/>
  <c r="D57" i="4" s="1"/>
  <c r="C54" i="4"/>
  <c r="C57" i="4" s="1"/>
  <c r="N57" i="4" s="1"/>
  <c r="D52" i="4"/>
  <c r="O52" i="4" s="1"/>
  <c r="K51" i="4"/>
  <c r="J51" i="4"/>
  <c r="I51" i="4"/>
  <c r="H51" i="4"/>
  <c r="G51" i="4"/>
  <c r="F51" i="4"/>
  <c r="E51" i="4"/>
  <c r="P51" i="4" s="1"/>
  <c r="D51" i="4"/>
  <c r="C51" i="4"/>
  <c r="K50" i="4"/>
  <c r="J50" i="4"/>
  <c r="I50" i="4"/>
  <c r="H50" i="4"/>
  <c r="G50" i="4"/>
  <c r="F50" i="4"/>
  <c r="Q50" i="4" s="1"/>
  <c r="E50" i="4"/>
  <c r="D50" i="4"/>
  <c r="C50" i="4"/>
  <c r="K49" i="4"/>
  <c r="J49" i="4"/>
  <c r="I49" i="4"/>
  <c r="H49" i="4"/>
  <c r="G49" i="4"/>
  <c r="R49" i="4" s="1"/>
  <c r="F49" i="4"/>
  <c r="E49" i="4"/>
  <c r="D49" i="4"/>
  <c r="C49" i="4"/>
  <c r="K48" i="4"/>
  <c r="K52" i="4" s="1"/>
  <c r="V52" i="4" s="1"/>
  <c r="J48" i="4"/>
  <c r="J52" i="4" s="1"/>
  <c r="I48" i="4"/>
  <c r="I65" i="4" s="1"/>
  <c r="H48" i="4"/>
  <c r="H66" i="4" s="1"/>
  <c r="S66" i="4" s="1"/>
  <c r="G48" i="4"/>
  <c r="G66" i="4" s="1"/>
  <c r="F48" i="4"/>
  <c r="F66" i="4" s="1"/>
  <c r="E48" i="4"/>
  <c r="E66" i="4" s="1"/>
  <c r="D48" i="4"/>
  <c r="D66" i="4" s="1"/>
  <c r="C48" i="4"/>
  <c r="C52" i="4" s="1"/>
  <c r="N52" i="4" s="1"/>
  <c r="K46" i="4"/>
  <c r="J46" i="4"/>
  <c r="I46" i="4"/>
  <c r="T46" i="4" s="1"/>
  <c r="AE46" i="4" s="1"/>
  <c r="H46" i="4"/>
  <c r="G46" i="4"/>
  <c r="F46" i="4"/>
  <c r="E46" i="4"/>
  <c r="D46" i="4"/>
  <c r="C46" i="4"/>
  <c r="J44" i="4"/>
  <c r="U44" i="4" s="1"/>
  <c r="K43" i="4"/>
  <c r="J43" i="4"/>
  <c r="I43" i="4"/>
  <c r="H43" i="4"/>
  <c r="G43" i="4"/>
  <c r="F43" i="4"/>
  <c r="E43" i="4"/>
  <c r="D43" i="4"/>
  <c r="C43" i="4"/>
  <c r="N43" i="4" s="1"/>
  <c r="K42" i="4"/>
  <c r="J42" i="4"/>
  <c r="I42" i="4"/>
  <c r="H42" i="4"/>
  <c r="G42" i="4"/>
  <c r="F42" i="4"/>
  <c r="E42" i="4"/>
  <c r="D42" i="4"/>
  <c r="C42" i="4"/>
  <c r="K41" i="4"/>
  <c r="J41" i="4"/>
  <c r="I41" i="4"/>
  <c r="H41" i="4"/>
  <c r="G41" i="4"/>
  <c r="F41" i="4"/>
  <c r="E41" i="4"/>
  <c r="D41" i="4"/>
  <c r="C41" i="4"/>
  <c r="K40" i="4"/>
  <c r="J40" i="4"/>
  <c r="I40" i="4"/>
  <c r="H40" i="4"/>
  <c r="G40" i="4"/>
  <c r="F40" i="4"/>
  <c r="Q40" i="4" s="1"/>
  <c r="E40" i="4"/>
  <c r="D40" i="4"/>
  <c r="C40" i="4"/>
  <c r="K39" i="4"/>
  <c r="K44" i="4" s="1"/>
  <c r="J39" i="4"/>
  <c r="I39" i="4"/>
  <c r="I44" i="4" s="1"/>
  <c r="T44" i="4" s="1"/>
  <c r="H39" i="4"/>
  <c r="H44" i="4" s="1"/>
  <c r="S44" i="4" s="1"/>
  <c r="G39" i="4"/>
  <c r="R39" i="4" s="1"/>
  <c r="F39" i="4"/>
  <c r="F44" i="4" s="1"/>
  <c r="E39" i="4"/>
  <c r="E44" i="4" s="1"/>
  <c r="D39" i="4"/>
  <c r="D44" i="4" s="1"/>
  <c r="C39" i="4"/>
  <c r="C44" i="4" s="1"/>
  <c r="H38" i="4"/>
  <c r="S38" i="4" s="1"/>
  <c r="K37" i="4"/>
  <c r="J37" i="4"/>
  <c r="I37" i="4"/>
  <c r="T37" i="4" s="1"/>
  <c r="H37" i="4"/>
  <c r="G37" i="4"/>
  <c r="F37" i="4"/>
  <c r="E37" i="4"/>
  <c r="D37" i="4"/>
  <c r="C37" i="4"/>
  <c r="K36" i="4"/>
  <c r="J36" i="4"/>
  <c r="I36" i="4"/>
  <c r="H36" i="4"/>
  <c r="G36" i="4"/>
  <c r="F36" i="4"/>
  <c r="E36" i="4"/>
  <c r="D36" i="4"/>
  <c r="C36" i="4"/>
  <c r="K35" i="4"/>
  <c r="J35" i="4"/>
  <c r="I35" i="4"/>
  <c r="H35" i="4"/>
  <c r="G35" i="4"/>
  <c r="F35" i="4"/>
  <c r="E35" i="4"/>
  <c r="D35" i="4"/>
  <c r="C35" i="4"/>
  <c r="K34" i="4"/>
  <c r="J34" i="4"/>
  <c r="I34" i="4"/>
  <c r="H34" i="4"/>
  <c r="G34" i="4"/>
  <c r="F34" i="4"/>
  <c r="E34" i="4"/>
  <c r="D34" i="4"/>
  <c r="C34" i="4"/>
  <c r="K33" i="4"/>
  <c r="K38" i="4" s="1"/>
  <c r="V38" i="4" s="1"/>
  <c r="J33" i="4"/>
  <c r="J38" i="4" s="1"/>
  <c r="I33" i="4"/>
  <c r="I38" i="4" s="1"/>
  <c r="T38" i="4" s="1"/>
  <c r="H33" i="4"/>
  <c r="G33" i="4"/>
  <c r="G38" i="4" s="1"/>
  <c r="R38" i="4" s="1"/>
  <c r="F33" i="4"/>
  <c r="F38" i="4" s="1"/>
  <c r="Q38" i="4" s="1"/>
  <c r="E33" i="4"/>
  <c r="E38" i="4" s="1"/>
  <c r="D33" i="4"/>
  <c r="D38" i="4" s="1"/>
  <c r="C33" i="4"/>
  <c r="C38" i="4" s="1"/>
  <c r="N38" i="4" s="1"/>
  <c r="K32" i="4"/>
  <c r="J32" i="4"/>
  <c r="I32" i="4"/>
  <c r="H32" i="4"/>
  <c r="G32" i="4"/>
  <c r="F32" i="4"/>
  <c r="Q32" i="4" s="1"/>
  <c r="E32" i="4"/>
  <c r="D32" i="4"/>
  <c r="C32" i="4"/>
  <c r="K27" i="4"/>
  <c r="J27" i="4"/>
  <c r="I27" i="4"/>
  <c r="H27" i="4"/>
  <c r="S27" i="4" s="1"/>
  <c r="G27" i="4"/>
  <c r="F27" i="4"/>
  <c r="E27" i="4"/>
  <c r="D27" i="4"/>
  <c r="C27" i="4"/>
  <c r="K25" i="4"/>
  <c r="J25" i="4"/>
  <c r="I25" i="4"/>
  <c r="T25" i="4" s="1"/>
  <c r="H25" i="4"/>
  <c r="G25" i="4"/>
  <c r="F25" i="4"/>
  <c r="E25" i="4"/>
  <c r="D25" i="4"/>
  <c r="C25" i="4"/>
  <c r="K24" i="4"/>
  <c r="J24" i="4"/>
  <c r="J23" i="4" s="1"/>
  <c r="U23" i="4" s="1"/>
  <c r="AF23" i="4" s="1"/>
  <c r="I24" i="4"/>
  <c r="I23" i="4" s="1"/>
  <c r="T23" i="4" s="1"/>
  <c r="AE23" i="4" s="1"/>
  <c r="H24" i="4"/>
  <c r="G24" i="4"/>
  <c r="F24" i="4"/>
  <c r="E24" i="4"/>
  <c r="E23" i="4" s="1"/>
  <c r="P23" i="4" s="1"/>
  <c r="AA23" i="4" s="1"/>
  <c r="D24" i="4"/>
  <c r="C24" i="4"/>
  <c r="K23" i="4"/>
  <c r="V23" i="4" s="1"/>
  <c r="AG23" i="4" s="1"/>
  <c r="H23" i="4"/>
  <c r="G23" i="4"/>
  <c r="F23" i="4"/>
  <c r="D23" i="4"/>
  <c r="C23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G14" i="4" s="1"/>
  <c r="R14" i="4" s="1"/>
  <c r="F16" i="4"/>
  <c r="E16" i="4"/>
  <c r="D16" i="4"/>
  <c r="C16" i="4"/>
  <c r="K15" i="4"/>
  <c r="J15" i="4"/>
  <c r="I15" i="4"/>
  <c r="H15" i="4"/>
  <c r="H14" i="4" s="1"/>
  <c r="S14" i="4" s="1"/>
  <c r="G15" i="4"/>
  <c r="F15" i="4"/>
  <c r="F14" i="4" s="1"/>
  <c r="Q14" i="4" s="1"/>
  <c r="E15" i="4"/>
  <c r="D15" i="4"/>
  <c r="C15" i="4"/>
  <c r="K14" i="4"/>
  <c r="J14" i="4"/>
  <c r="I14" i="4"/>
  <c r="T14" i="4" s="1"/>
  <c r="E14" i="4"/>
  <c r="D14" i="4"/>
  <c r="C14" i="4"/>
  <c r="K12" i="4"/>
  <c r="J12" i="4"/>
  <c r="I12" i="4"/>
  <c r="H12" i="4"/>
  <c r="G12" i="4"/>
  <c r="F12" i="4"/>
  <c r="E12" i="4"/>
  <c r="D12" i="4"/>
  <c r="C12" i="4"/>
  <c r="K11" i="4"/>
  <c r="K9" i="4" s="1"/>
  <c r="J11" i="4"/>
  <c r="I11" i="4"/>
  <c r="H11" i="4"/>
  <c r="G11" i="4"/>
  <c r="F11" i="4"/>
  <c r="E11" i="4"/>
  <c r="D11" i="4"/>
  <c r="C11" i="4"/>
  <c r="C9" i="4" s="1"/>
  <c r="K10" i="4"/>
  <c r="J10" i="4"/>
  <c r="J9" i="4" s="1"/>
  <c r="I10" i="4"/>
  <c r="H10" i="4"/>
  <c r="G10" i="4"/>
  <c r="G9" i="4" s="1"/>
  <c r="F10" i="4"/>
  <c r="F9" i="4" s="1"/>
  <c r="E10" i="4"/>
  <c r="D10" i="4"/>
  <c r="D9" i="4" s="1"/>
  <c r="C10" i="4"/>
  <c r="I9" i="4"/>
  <c r="H9" i="4"/>
  <c r="E9" i="4"/>
  <c r="E19" i="4" s="1"/>
  <c r="E29" i="4" s="1"/>
  <c r="B10" i="4"/>
  <c r="B9" i="4" s="1"/>
  <c r="B11" i="4"/>
  <c r="B12" i="4"/>
  <c r="B15" i="4"/>
  <c r="B14" i="4" s="1"/>
  <c r="B16" i="4"/>
  <c r="B17" i="4"/>
  <c r="B23" i="4"/>
  <c r="B24" i="4"/>
  <c r="B25" i="4"/>
  <c r="B27" i="4"/>
  <c r="B32" i="4"/>
  <c r="B33" i="4"/>
  <c r="B34" i="4"/>
  <c r="B35" i="4"/>
  <c r="B38" i="4" s="1"/>
  <c r="B36" i="4"/>
  <c r="B37" i="4"/>
  <c r="B39" i="4"/>
  <c r="B44" i="4" s="1"/>
  <c r="B40" i="4"/>
  <c r="M40" i="4" s="1"/>
  <c r="B41" i="4"/>
  <c r="B42" i="4"/>
  <c r="B43" i="4"/>
  <c r="B46" i="4"/>
  <c r="B48" i="4"/>
  <c r="B52" i="4" s="1"/>
  <c r="B49" i="4"/>
  <c r="B50" i="4"/>
  <c r="M50" i="4" s="1"/>
  <c r="B51" i="4"/>
  <c r="B54" i="4"/>
  <c r="B57" i="4" s="1"/>
  <c r="B55" i="4"/>
  <c r="B56" i="4"/>
  <c r="B59" i="4"/>
  <c r="B60" i="4"/>
  <c r="B63" i="4" s="1"/>
  <c r="B61" i="4"/>
  <c r="B62" i="4"/>
  <c r="B71" i="4"/>
  <c r="B72" i="4"/>
  <c r="B73" i="4"/>
  <c r="B80" i="4" s="1"/>
  <c r="B75" i="4"/>
  <c r="B74" i="4" s="1"/>
  <c r="B76" i="4"/>
  <c r="B77" i="4"/>
  <c r="B78" i="4"/>
  <c r="B79" i="4"/>
  <c r="B81" i="4"/>
  <c r="B82" i="4"/>
  <c r="B83" i="4"/>
  <c r="B86" i="4"/>
  <c r="B85" i="4" s="1"/>
  <c r="B87" i="4"/>
  <c r="B90" i="4"/>
  <c r="M90" i="4" s="1"/>
  <c r="B92" i="4"/>
  <c r="B95" i="4"/>
  <c r="B120" i="4"/>
  <c r="B128" i="4"/>
  <c r="B127" i="4" s="1"/>
  <c r="B129" i="4"/>
  <c r="B130" i="4"/>
  <c r="M33" i="4"/>
  <c r="M36" i="4"/>
  <c r="M37" i="4"/>
  <c r="M39" i="4"/>
  <c r="M46" i="4"/>
  <c r="Y46" i="4" s="1"/>
  <c r="M48" i="4"/>
  <c r="Y48" i="4" s="1"/>
  <c r="M51" i="4"/>
  <c r="M62" i="4"/>
  <c r="M92" i="4"/>
  <c r="B177" i="4"/>
  <c r="B140" i="4"/>
  <c r="M140" i="4" s="1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B241" i="4"/>
  <c r="B253" i="4"/>
  <c r="B252" i="4"/>
  <c r="N204" i="4"/>
  <c r="M204" i="4"/>
  <c r="N203" i="4"/>
  <c r="M203" i="4"/>
  <c r="N202" i="4"/>
  <c r="M202" i="4"/>
  <c r="G201" i="4"/>
  <c r="F201" i="4"/>
  <c r="E201" i="4"/>
  <c r="I177" i="4"/>
  <c r="H177" i="4"/>
  <c r="G177" i="4"/>
  <c r="F177" i="4"/>
  <c r="G150" i="4"/>
  <c r="R150" i="4" s="1"/>
  <c r="F150" i="4"/>
  <c r="Q150" i="4" s="1"/>
  <c r="N140" i="4"/>
  <c r="J140" i="4"/>
  <c r="U140" i="4" s="1"/>
  <c r="E140" i="4"/>
  <c r="P140" i="4" s="1"/>
  <c r="D140" i="4"/>
  <c r="O140" i="4" s="1"/>
  <c r="V139" i="4"/>
  <c r="U139" i="4"/>
  <c r="T139" i="4"/>
  <c r="S139" i="4"/>
  <c r="R139" i="4"/>
  <c r="Q139" i="4"/>
  <c r="P139" i="4"/>
  <c r="O139" i="4"/>
  <c r="N139" i="4"/>
  <c r="M139" i="4"/>
  <c r="R138" i="4"/>
  <c r="Q138" i="4"/>
  <c r="P138" i="4"/>
  <c r="O138" i="4"/>
  <c r="N138" i="4"/>
  <c r="M138" i="4"/>
  <c r="J138" i="4"/>
  <c r="U138" i="4" s="1"/>
  <c r="I138" i="4"/>
  <c r="T138" i="4" s="1"/>
  <c r="K135" i="4"/>
  <c r="G133" i="4"/>
  <c r="J133" i="4"/>
  <c r="I140" i="4"/>
  <c r="T140" i="4" s="1"/>
  <c r="G140" i="4"/>
  <c r="R140" i="4" s="1"/>
  <c r="F140" i="4"/>
  <c r="Q140" i="4" s="1"/>
  <c r="K138" i="4"/>
  <c r="V138" i="4" s="1"/>
  <c r="V107" i="4"/>
  <c r="U107" i="4"/>
  <c r="T107" i="4"/>
  <c r="S107" i="4"/>
  <c r="R107" i="4"/>
  <c r="Q107" i="4"/>
  <c r="P107" i="4"/>
  <c r="O107" i="4"/>
  <c r="N107" i="4"/>
  <c r="M107" i="4"/>
  <c r="V95" i="4"/>
  <c r="T95" i="4"/>
  <c r="S95" i="4"/>
  <c r="R95" i="4"/>
  <c r="K177" i="4"/>
  <c r="Q95" i="4"/>
  <c r="C177" i="4"/>
  <c r="V94" i="4"/>
  <c r="U94" i="4"/>
  <c r="T94" i="4"/>
  <c r="S94" i="4"/>
  <c r="R94" i="4"/>
  <c r="Q94" i="4"/>
  <c r="P94" i="4"/>
  <c r="O94" i="4"/>
  <c r="N94" i="4"/>
  <c r="M94" i="4"/>
  <c r="V92" i="4"/>
  <c r="U92" i="4"/>
  <c r="Q92" i="4"/>
  <c r="N92" i="4"/>
  <c r="T92" i="4"/>
  <c r="S92" i="4"/>
  <c r="R92" i="4"/>
  <c r="P92" i="4"/>
  <c r="V90" i="4"/>
  <c r="U90" i="4"/>
  <c r="P90" i="4"/>
  <c r="O90" i="4"/>
  <c r="N90" i="4"/>
  <c r="T90" i="4"/>
  <c r="S90" i="4"/>
  <c r="R90" i="4"/>
  <c r="V89" i="4"/>
  <c r="U89" i="4"/>
  <c r="T89" i="4"/>
  <c r="S89" i="4"/>
  <c r="R89" i="4"/>
  <c r="Q89" i="4"/>
  <c r="P89" i="4"/>
  <c r="O89" i="4"/>
  <c r="N89" i="4"/>
  <c r="M89" i="4"/>
  <c r="T87" i="4"/>
  <c r="R87" i="4"/>
  <c r="Q87" i="4"/>
  <c r="P87" i="4"/>
  <c r="V87" i="4"/>
  <c r="U87" i="4"/>
  <c r="O87" i="4"/>
  <c r="N87" i="4"/>
  <c r="V86" i="4"/>
  <c r="U86" i="4"/>
  <c r="N86" i="4"/>
  <c r="S86" i="4"/>
  <c r="T83" i="4"/>
  <c r="R83" i="4"/>
  <c r="Q83" i="4"/>
  <c r="P83" i="4"/>
  <c r="V83" i="4"/>
  <c r="U83" i="4"/>
  <c r="N83" i="4"/>
  <c r="M83" i="4"/>
  <c r="V82" i="4"/>
  <c r="U82" i="4"/>
  <c r="T82" i="4"/>
  <c r="O82" i="4"/>
  <c r="N82" i="4"/>
  <c r="S82" i="4"/>
  <c r="T81" i="4"/>
  <c r="I179" i="4"/>
  <c r="T79" i="4"/>
  <c r="R79" i="4"/>
  <c r="Q79" i="4"/>
  <c r="P79" i="4"/>
  <c r="V79" i="4"/>
  <c r="U79" i="4"/>
  <c r="O79" i="4"/>
  <c r="N79" i="4"/>
  <c r="M79" i="4"/>
  <c r="V78" i="4"/>
  <c r="U78" i="4"/>
  <c r="N78" i="4"/>
  <c r="M78" i="4"/>
  <c r="S78" i="4"/>
  <c r="R78" i="4"/>
  <c r="Q78" i="4"/>
  <c r="P78" i="4"/>
  <c r="O78" i="4"/>
  <c r="T77" i="4"/>
  <c r="R77" i="4"/>
  <c r="Q77" i="4"/>
  <c r="P77" i="4"/>
  <c r="V77" i="4"/>
  <c r="S77" i="4"/>
  <c r="O77" i="4"/>
  <c r="N77" i="4"/>
  <c r="M77" i="4"/>
  <c r="U76" i="4"/>
  <c r="T76" i="4"/>
  <c r="M76" i="4"/>
  <c r="S76" i="4"/>
  <c r="R76" i="4"/>
  <c r="Q76" i="4"/>
  <c r="P76" i="4"/>
  <c r="O76" i="4"/>
  <c r="R75" i="4"/>
  <c r="Q75" i="4"/>
  <c r="P75" i="4"/>
  <c r="V72" i="4"/>
  <c r="U72" i="4"/>
  <c r="O72" i="4"/>
  <c r="N72" i="4"/>
  <c r="M72" i="4"/>
  <c r="T72" i="4"/>
  <c r="S72" i="4"/>
  <c r="Q72" i="4"/>
  <c r="P72" i="4"/>
  <c r="AB71" i="4"/>
  <c r="U71" i="4"/>
  <c r="AF71" i="4" s="1"/>
  <c r="T71" i="4"/>
  <c r="AE71" i="4" s="1"/>
  <c r="R71" i="4"/>
  <c r="AC71" i="4" s="1"/>
  <c r="Q71" i="4"/>
  <c r="M71" i="4"/>
  <c r="Y71" i="4" s="1"/>
  <c r="E150" i="4"/>
  <c r="P150" i="4" s="1"/>
  <c r="U65" i="4"/>
  <c r="AF65" i="4" s="1"/>
  <c r="T62" i="4"/>
  <c r="S62" i="4"/>
  <c r="R62" i="4"/>
  <c r="V62" i="4"/>
  <c r="U62" i="4"/>
  <c r="Q62" i="4"/>
  <c r="P62" i="4"/>
  <c r="O62" i="4"/>
  <c r="N62" i="4"/>
  <c r="V61" i="4"/>
  <c r="O61" i="4"/>
  <c r="N61" i="4"/>
  <c r="U61" i="4"/>
  <c r="T61" i="4"/>
  <c r="S61" i="4"/>
  <c r="R61" i="4"/>
  <c r="Q61" i="4"/>
  <c r="M61" i="4"/>
  <c r="T60" i="4"/>
  <c r="S60" i="4"/>
  <c r="R60" i="4"/>
  <c r="V60" i="4"/>
  <c r="U60" i="4"/>
  <c r="O60" i="4"/>
  <c r="N60" i="4"/>
  <c r="Q59" i="4"/>
  <c r="AB59" i="4" s="1"/>
  <c r="P59" i="4"/>
  <c r="AA59" i="4" s="1"/>
  <c r="O59" i="4"/>
  <c r="Z59" i="4" s="1"/>
  <c r="U59" i="4"/>
  <c r="AF59" i="4" s="1"/>
  <c r="S59" i="4"/>
  <c r="AD59" i="4" s="1"/>
  <c r="M59" i="4"/>
  <c r="Y59" i="4" s="1"/>
  <c r="Q56" i="4"/>
  <c r="P56" i="4"/>
  <c r="O56" i="4"/>
  <c r="V56" i="4"/>
  <c r="U56" i="4"/>
  <c r="S56" i="4"/>
  <c r="R56" i="4"/>
  <c r="N56" i="4"/>
  <c r="M56" i="4"/>
  <c r="V55" i="4"/>
  <c r="T55" i="4"/>
  <c r="S55" i="4"/>
  <c r="N55" i="4"/>
  <c r="M55" i="4"/>
  <c r="R55" i="4"/>
  <c r="P55" i="4"/>
  <c r="O55" i="4"/>
  <c r="AA54" i="4"/>
  <c r="U54" i="4"/>
  <c r="AF54" i="4" s="1"/>
  <c r="R54" i="4"/>
  <c r="AC54" i="4" s="1"/>
  <c r="Q54" i="4"/>
  <c r="AB54" i="4" s="1"/>
  <c r="P54" i="4"/>
  <c r="M54" i="4"/>
  <c r="Y54" i="4" s="1"/>
  <c r="O54" i="4"/>
  <c r="Z54" i="4" s="1"/>
  <c r="N54" i="4"/>
  <c r="R51" i="4"/>
  <c r="Q51" i="4"/>
  <c r="V51" i="4"/>
  <c r="U51" i="4"/>
  <c r="T51" i="4"/>
  <c r="S51" i="4"/>
  <c r="O51" i="4"/>
  <c r="N51" i="4"/>
  <c r="V50" i="4"/>
  <c r="U50" i="4"/>
  <c r="T50" i="4"/>
  <c r="N50" i="4"/>
  <c r="S50" i="4"/>
  <c r="R50" i="4"/>
  <c r="P50" i="4"/>
  <c r="O50" i="4"/>
  <c r="U49" i="4"/>
  <c r="Q49" i="4"/>
  <c r="P49" i="4"/>
  <c r="M49" i="4"/>
  <c r="T49" i="4"/>
  <c r="S49" i="4"/>
  <c r="O49" i="4"/>
  <c r="AF48" i="4"/>
  <c r="V48" i="4"/>
  <c r="AG48" i="4" s="1"/>
  <c r="U48" i="4"/>
  <c r="P48" i="4"/>
  <c r="AA48" i="4" s="1"/>
  <c r="O48" i="4"/>
  <c r="Z48" i="4" s="1"/>
  <c r="N48" i="4"/>
  <c r="S46" i="4"/>
  <c r="AD46" i="4" s="1"/>
  <c r="R46" i="4"/>
  <c r="AC46" i="4" s="1"/>
  <c r="V46" i="4"/>
  <c r="AG46" i="4" s="1"/>
  <c r="U46" i="4"/>
  <c r="AF46" i="4" s="1"/>
  <c r="Q46" i="4"/>
  <c r="AB46" i="4" s="1"/>
  <c r="P46" i="4"/>
  <c r="AA46" i="4" s="1"/>
  <c r="O46" i="4"/>
  <c r="Z46" i="4" s="1"/>
  <c r="N46" i="4"/>
  <c r="A46" i="4"/>
  <c r="T43" i="4"/>
  <c r="S43" i="4"/>
  <c r="O43" i="4"/>
  <c r="V43" i="4"/>
  <c r="U43" i="4"/>
  <c r="R43" i="4"/>
  <c r="Q43" i="4"/>
  <c r="P43" i="4"/>
  <c r="M43" i="4"/>
  <c r="P42" i="4"/>
  <c r="O42" i="4"/>
  <c r="V42" i="4"/>
  <c r="U42" i="4"/>
  <c r="S42" i="4"/>
  <c r="R42" i="4"/>
  <c r="Q42" i="4"/>
  <c r="N42" i="4"/>
  <c r="M42" i="4"/>
  <c r="T41" i="4"/>
  <c r="S41" i="4"/>
  <c r="N41" i="4"/>
  <c r="V41" i="4"/>
  <c r="U41" i="4"/>
  <c r="R41" i="4"/>
  <c r="Q41" i="4"/>
  <c r="P41" i="4"/>
  <c r="O41" i="4"/>
  <c r="P40" i="4"/>
  <c r="O40" i="4"/>
  <c r="V40" i="4"/>
  <c r="U40" i="4"/>
  <c r="T40" i="4"/>
  <c r="R40" i="4"/>
  <c r="N40" i="4"/>
  <c r="T39" i="4"/>
  <c r="S39" i="4"/>
  <c r="P39" i="4"/>
  <c r="O39" i="4"/>
  <c r="N39" i="4"/>
  <c r="V39" i="4"/>
  <c r="Q39" i="4"/>
  <c r="S37" i="4"/>
  <c r="P37" i="4"/>
  <c r="O37" i="4"/>
  <c r="N37" i="4"/>
  <c r="V37" i="4"/>
  <c r="U37" i="4"/>
  <c r="R37" i="4"/>
  <c r="Q37" i="4"/>
  <c r="P36" i="4"/>
  <c r="V36" i="4"/>
  <c r="U36" i="4"/>
  <c r="T36" i="4"/>
  <c r="S36" i="4"/>
  <c r="R36" i="4"/>
  <c r="O36" i="4"/>
  <c r="N36" i="4"/>
  <c r="V34" i="4"/>
  <c r="U34" i="4"/>
  <c r="T34" i="4"/>
  <c r="Q34" i="4"/>
  <c r="N34" i="4"/>
  <c r="M34" i="4"/>
  <c r="S34" i="4"/>
  <c r="R34" i="4"/>
  <c r="P34" i="4"/>
  <c r="O34" i="4"/>
  <c r="U33" i="4"/>
  <c r="R33" i="4"/>
  <c r="Q33" i="4"/>
  <c r="V32" i="4"/>
  <c r="U32" i="4"/>
  <c r="T32" i="4"/>
  <c r="N32" i="4"/>
  <c r="M32" i="4"/>
  <c r="S32" i="4"/>
  <c r="R32" i="4"/>
  <c r="P32" i="4"/>
  <c r="O32" i="4"/>
  <c r="V27" i="4"/>
  <c r="U27" i="4"/>
  <c r="R27" i="4"/>
  <c r="O27" i="4"/>
  <c r="N27" i="4"/>
  <c r="M27" i="4"/>
  <c r="T27" i="4"/>
  <c r="Q27" i="4"/>
  <c r="P27" i="4"/>
  <c r="V25" i="4"/>
  <c r="S25" i="4"/>
  <c r="R25" i="4"/>
  <c r="Q25" i="4"/>
  <c r="N25" i="4"/>
  <c r="R23" i="4"/>
  <c r="AC23" i="4" s="1"/>
  <c r="P25" i="4"/>
  <c r="O25" i="4"/>
  <c r="V24" i="4"/>
  <c r="R24" i="4"/>
  <c r="O24" i="4"/>
  <c r="N24" i="4"/>
  <c r="M24" i="4"/>
  <c r="T24" i="4"/>
  <c r="S23" i="4"/>
  <c r="AD23" i="4" s="1"/>
  <c r="Q23" i="4"/>
  <c r="AB23" i="4" s="1"/>
  <c r="P24" i="4"/>
  <c r="O23" i="4"/>
  <c r="Z23" i="4" s="1"/>
  <c r="N23" i="4"/>
  <c r="V16" i="4"/>
  <c r="S16" i="4"/>
  <c r="Q16" i="4"/>
  <c r="N16" i="4"/>
  <c r="U16" i="4"/>
  <c r="T16" i="4"/>
  <c r="P16" i="4"/>
  <c r="O16" i="4"/>
  <c r="V15" i="4"/>
  <c r="U15" i="4"/>
  <c r="R15" i="4"/>
  <c r="O15" i="4"/>
  <c r="N15" i="4"/>
  <c r="M15" i="4"/>
  <c r="V14" i="4"/>
  <c r="T15" i="4"/>
  <c r="P14" i="4"/>
  <c r="O14" i="4"/>
  <c r="N14" i="4"/>
  <c r="U14" i="4"/>
  <c r="T11" i="4"/>
  <c r="Q11" i="4"/>
  <c r="P11" i="4"/>
  <c r="O11" i="4"/>
  <c r="U11" i="4"/>
  <c r="S11" i="4"/>
  <c r="R11" i="4"/>
  <c r="M11" i="4"/>
  <c r="U10" i="4"/>
  <c r="T10" i="4"/>
  <c r="S10" i="4"/>
  <c r="P10" i="4"/>
  <c r="M10" i="4"/>
  <c r="R10" i="4"/>
  <c r="Q10" i="4"/>
  <c r="S9" i="4"/>
  <c r="H248" i="3"/>
  <c r="S248" i="3" s="1"/>
  <c r="K254" i="3"/>
  <c r="V254" i="3" s="1"/>
  <c r="J254" i="3"/>
  <c r="U254" i="3" s="1"/>
  <c r="I254" i="3"/>
  <c r="T254" i="3" s="1"/>
  <c r="H254" i="3"/>
  <c r="S254" i="3" s="1"/>
  <c r="G254" i="3"/>
  <c r="R254" i="3" s="1"/>
  <c r="F254" i="3"/>
  <c r="Q254" i="3" s="1"/>
  <c r="E254" i="3"/>
  <c r="P254" i="3" s="1"/>
  <c r="D254" i="3"/>
  <c r="C254" i="3"/>
  <c r="N254" i="3" s="1"/>
  <c r="J253" i="3"/>
  <c r="U253" i="3" s="1"/>
  <c r="I253" i="3"/>
  <c r="T253" i="3" s="1"/>
  <c r="H253" i="3"/>
  <c r="S253" i="3" s="1"/>
  <c r="G253" i="3"/>
  <c r="R253" i="3" s="1"/>
  <c r="F253" i="3"/>
  <c r="Q253" i="3" s="1"/>
  <c r="E253" i="3"/>
  <c r="P253" i="3" s="1"/>
  <c r="D253" i="3"/>
  <c r="C253" i="3"/>
  <c r="N253" i="3" s="1"/>
  <c r="J252" i="3"/>
  <c r="U252" i="3" s="1"/>
  <c r="I252" i="3"/>
  <c r="T252" i="3" s="1"/>
  <c r="H252" i="3"/>
  <c r="S252" i="3" s="1"/>
  <c r="G252" i="3"/>
  <c r="R252" i="3" s="1"/>
  <c r="F252" i="3"/>
  <c r="F248" i="3" s="1"/>
  <c r="Q248" i="3" s="1"/>
  <c r="E252" i="3"/>
  <c r="P252" i="3" s="1"/>
  <c r="D252" i="3"/>
  <c r="C252" i="3"/>
  <c r="N252" i="3" s="1"/>
  <c r="J251" i="3"/>
  <c r="U251" i="3" s="1"/>
  <c r="I251" i="3"/>
  <c r="T251" i="3" s="1"/>
  <c r="H251" i="3"/>
  <c r="S251" i="3" s="1"/>
  <c r="G251" i="3"/>
  <c r="R251" i="3" s="1"/>
  <c r="F251" i="3"/>
  <c r="Q251" i="3" s="1"/>
  <c r="E251" i="3"/>
  <c r="P251" i="3" s="1"/>
  <c r="D251" i="3"/>
  <c r="C251" i="3"/>
  <c r="N251" i="3" s="1"/>
  <c r="J250" i="3"/>
  <c r="U250" i="3" s="1"/>
  <c r="I250" i="3"/>
  <c r="T250" i="3" s="1"/>
  <c r="H250" i="3"/>
  <c r="S250" i="3" s="1"/>
  <c r="G250" i="3"/>
  <c r="R250" i="3" s="1"/>
  <c r="F250" i="3"/>
  <c r="Q250" i="3" s="1"/>
  <c r="E250" i="3"/>
  <c r="P250" i="3" s="1"/>
  <c r="D250" i="3"/>
  <c r="D248" i="3" s="1"/>
  <c r="O248" i="3" s="1"/>
  <c r="C250" i="3"/>
  <c r="N250" i="3" s="1"/>
  <c r="K249" i="3"/>
  <c r="J249" i="3"/>
  <c r="U249" i="3" s="1"/>
  <c r="I249" i="3"/>
  <c r="T249" i="3" s="1"/>
  <c r="H249" i="3"/>
  <c r="S249" i="3" s="1"/>
  <c r="G249" i="3"/>
  <c r="G248" i="3" s="1"/>
  <c r="R248" i="3" s="1"/>
  <c r="F249" i="3"/>
  <c r="Q249" i="3" s="1"/>
  <c r="E249" i="3"/>
  <c r="E248" i="3" s="1"/>
  <c r="P248" i="3" s="1"/>
  <c r="D249" i="3"/>
  <c r="C249" i="3"/>
  <c r="N249" i="3" s="1"/>
  <c r="B254" i="3"/>
  <c r="M254" i="3" s="1"/>
  <c r="B251" i="3"/>
  <c r="M251" i="3" s="1"/>
  <c r="B250" i="3"/>
  <c r="M250" i="3" s="1"/>
  <c r="B249" i="3"/>
  <c r="M249" i="3" s="1"/>
  <c r="B209" i="3"/>
  <c r="B252" i="3" s="1"/>
  <c r="M252" i="3" s="1"/>
  <c r="B210" i="3"/>
  <c r="B253" i="3" s="1"/>
  <c r="M253" i="3" s="1"/>
  <c r="B222" i="3"/>
  <c r="B241" i="3"/>
  <c r="C213" i="3"/>
  <c r="C204" i="3"/>
  <c r="D213" i="3"/>
  <c r="D204" i="3"/>
  <c r="H241" i="3"/>
  <c r="G241" i="3"/>
  <c r="F241" i="3"/>
  <c r="E241" i="3"/>
  <c r="D241" i="3"/>
  <c r="C241" i="3"/>
  <c r="I241" i="3"/>
  <c r="J241" i="3"/>
  <c r="J232" i="3"/>
  <c r="J262" i="3" s="1"/>
  <c r="U262" i="3" s="1"/>
  <c r="I232" i="3"/>
  <c r="I262" i="3" s="1"/>
  <c r="T262" i="3" s="1"/>
  <c r="H232" i="3"/>
  <c r="H262" i="3" s="1"/>
  <c r="S262" i="3" s="1"/>
  <c r="G232" i="3"/>
  <c r="G262" i="3" s="1"/>
  <c r="R262" i="3" s="1"/>
  <c r="F232" i="3"/>
  <c r="F262" i="3" s="1"/>
  <c r="Q262" i="3" s="1"/>
  <c r="E232" i="3"/>
  <c r="E262" i="3" s="1"/>
  <c r="P262" i="3" s="1"/>
  <c r="D232" i="3"/>
  <c r="D262" i="3" s="1"/>
  <c r="O262" i="3" s="1"/>
  <c r="C232" i="3"/>
  <c r="C262" i="3" s="1"/>
  <c r="N262" i="3" s="1"/>
  <c r="B232" i="3"/>
  <c r="B262" i="3" s="1"/>
  <c r="M262" i="3" s="1"/>
  <c r="J223" i="3"/>
  <c r="J261" i="3" s="1"/>
  <c r="U261" i="3" s="1"/>
  <c r="I223" i="3"/>
  <c r="I261" i="3" s="1"/>
  <c r="T261" i="3" s="1"/>
  <c r="H223" i="3"/>
  <c r="H261" i="3" s="1"/>
  <c r="S261" i="3" s="1"/>
  <c r="G223" i="3"/>
  <c r="G261" i="3" s="1"/>
  <c r="R261" i="3" s="1"/>
  <c r="F223" i="3"/>
  <c r="F261" i="3" s="1"/>
  <c r="Q261" i="3" s="1"/>
  <c r="E223" i="3"/>
  <c r="E261" i="3" s="1"/>
  <c r="P261" i="3" s="1"/>
  <c r="D223" i="3"/>
  <c r="D261" i="3" s="1"/>
  <c r="O261" i="3" s="1"/>
  <c r="C223" i="3"/>
  <c r="C261" i="3" s="1"/>
  <c r="N261" i="3" s="1"/>
  <c r="B223" i="3"/>
  <c r="B261" i="3" s="1"/>
  <c r="M261" i="3" s="1"/>
  <c r="J214" i="3"/>
  <c r="J260" i="3" s="1"/>
  <c r="U260" i="3" s="1"/>
  <c r="I214" i="3"/>
  <c r="I260" i="3" s="1"/>
  <c r="H214" i="3"/>
  <c r="H260" i="3" s="1"/>
  <c r="S260" i="3" s="1"/>
  <c r="G214" i="3"/>
  <c r="G260" i="3" s="1"/>
  <c r="R260" i="3" s="1"/>
  <c r="F214" i="3"/>
  <c r="F260" i="3" s="1"/>
  <c r="Q260" i="3" s="1"/>
  <c r="E214" i="3"/>
  <c r="E260" i="3" s="1"/>
  <c r="D214" i="3"/>
  <c r="D260" i="3" s="1"/>
  <c r="O260" i="3" s="1"/>
  <c r="C214" i="3"/>
  <c r="C260" i="3" s="1"/>
  <c r="N260" i="3" s="1"/>
  <c r="B214" i="3"/>
  <c r="J205" i="3"/>
  <c r="J259" i="3" s="1"/>
  <c r="I205" i="3"/>
  <c r="I259" i="3" s="1"/>
  <c r="T259" i="3" s="1"/>
  <c r="H205" i="3"/>
  <c r="H259" i="3" s="1"/>
  <c r="G205" i="3"/>
  <c r="G259" i="3" s="1"/>
  <c r="F205" i="3"/>
  <c r="F259" i="3" s="1"/>
  <c r="Q259" i="3" s="1"/>
  <c r="E205" i="3"/>
  <c r="E259" i="3" s="1"/>
  <c r="P259" i="3" s="1"/>
  <c r="D205" i="3"/>
  <c r="D259" i="3" s="1"/>
  <c r="C205" i="3"/>
  <c r="C259" i="3" s="1"/>
  <c r="C258" i="3" s="1"/>
  <c r="N258" i="3" s="1"/>
  <c r="N203" i="3"/>
  <c r="N202" i="3"/>
  <c r="M202" i="3"/>
  <c r="K66" i="3" l="1"/>
  <c r="K73" i="3"/>
  <c r="K81" i="3"/>
  <c r="K57" i="3"/>
  <c r="K85" i="3"/>
  <c r="K44" i="3"/>
  <c r="K9" i="3"/>
  <c r="K19" i="3" s="1"/>
  <c r="K29" i="3" s="1"/>
  <c r="S259" i="3"/>
  <c r="H258" i="3"/>
  <c r="S258" i="3" s="1"/>
  <c r="I248" i="3"/>
  <c r="T248" i="3" s="1"/>
  <c r="P249" i="3"/>
  <c r="J248" i="3"/>
  <c r="U248" i="3" s="1"/>
  <c r="Q252" i="3"/>
  <c r="N259" i="3"/>
  <c r="O250" i="3"/>
  <c r="J258" i="3"/>
  <c r="U258" i="3" s="1"/>
  <c r="U259" i="3"/>
  <c r="I258" i="3"/>
  <c r="T258" i="3" s="1"/>
  <c r="T260" i="3"/>
  <c r="C248" i="3"/>
  <c r="N248" i="3" s="1"/>
  <c r="R249" i="3"/>
  <c r="B213" i="3"/>
  <c r="B260" i="3"/>
  <c r="M260" i="3" s="1"/>
  <c r="G258" i="3"/>
  <c r="R258" i="3" s="1"/>
  <c r="R259" i="3"/>
  <c r="D258" i="3"/>
  <c r="O258" i="3" s="1"/>
  <c r="B231" i="3"/>
  <c r="K253" i="3"/>
  <c r="V253" i="3" s="1"/>
  <c r="F258" i="3"/>
  <c r="Q258" i="3" s="1"/>
  <c r="E258" i="3"/>
  <c r="P258" i="3" s="1"/>
  <c r="P260" i="3"/>
  <c r="B248" i="3"/>
  <c r="M248" i="3" s="1"/>
  <c r="K52" i="3"/>
  <c r="K63" i="3"/>
  <c r="K38" i="3"/>
  <c r="K74" i="3"/>
  <c r="K14" i="3"/>
  <c r="V249" i="3"/>
  <c r="K258" i="3"/>
  <c r="V258" i="3" s="1"/>
  <c r="X262" i="3" s="1"/>
  <c r="K65" i="3"/>
  <c r="K80" i="3"/>
  <c r="F248" i="4"/>
  <c r="G248" i="4"/>
  <c r="D248" i="4"/>
  <c r="E248" i="4"/>
  <c r="Q9" i="4"/>
  <c r="F21" i="4"/>
  <c r="Q21" i="4" s="1"/>
  <c r="F19" i="4"/>
  <c r="F29" i="4" s="1"/>
  <c r="G19" i="4"/>
  <c r="G29" i="4" s="1"/>
  <c r="J80" i="4"/>
  <c r="C84" i="4"/>
  <c r="C88" i="4" s="1"/>
  <c r="C91" i="4" s="1"/>
  <c r="C93" i="4" s="1"/>
  <c r="C96" i="4"/>
  <c r="K84" i="4"/>
  <c r="K88" i="4" s="1"/>
  <c r="K91" i="4" s="1"/>
  <c r="K93" i="4" s="1"/>
  <c r="K96" i="4"/>
  <c r="J21" i="4"/>
  <c r="U21" i="4" s="1"/>
  <c r="J19" i="4"/>
  <c r="J29" i="4" s="1"/>
  <c r="D96" i="4"/>
  <c r="D84" i="4"/>
  <c r="D88" i="4" s="1"/>
  <c r="D91" i="4" s="1"/>
  <c r="D93" i="4" s="1"/>
  <c r="E96" i="4"/>
  <c r="E84" i="4"/>
  <c r="E88" i="4" s="1"/>
  <c r="E91" i="4" s="1"/>
  <c r="E93" i="4" s="1"/>
  <c r="F96" i="4"/>
  <c r="F84" i="4"/>
  <c r="F88" i="4" s="1"/>
  <c r="F91" i="4" s="1"/>
  <c r="F93" i="4" s="1"/>
  <c r="D19" i="4"/>
  <c r="D29" i="4" s="1"/>
  <c r="C19" i="4"/>
  <c r="C29" i="4" s="1"/>
  <c r="K21" i="4"/>
  <c r="K19" i="4"/>
  <c r="K29" i="4" s="1"/>
  <c r="G80" i="4"/>
  <c r="I80" i="4"/>
  <c r="V11" i="4"/>
  <c r="H140" i="4"/>
  <c r="S140" i="4" s="1"/>
  <c r="E21" i="4"/>
  <c r="E52" i="4"/>
  <c r="P52" i="4" s="1"/>
  <c r="C65" i="4"/>
  <c r="N65" i="4" s="1"/>
  <c r="K65" i="4"/>
  <c r="V65" i="4" s="1"/>
  <c r="AG65" i="4" s="1"/>
  <c r="J66" i="4"/>
  <c r="U66" i="4" s="1"/>
  <c r="N76" i="4"/>
  <c r="F52" i="4"/>
  <c r="Q52" i="4" s="1"/>
  <c r="D65" i="4"/>
  <c r="C66" i="4"/>
  <c r="N66" i="4" s="1"/>
  <c r="K66" i="4"/>
  <c r="V66" i="4" s="1"/>
  <c r="P9" i="4"/>
  <c r="V54" i="4"/>
  <c r="AG54" i="4" s="1"/>
  <c r="T86" i="4"/>
  <c r="H19" i="4"/>
  <c r="H29" i="4" s="1"/>
  <c r="G52" i="4"/>
  <c r="R52" i="4" s="1"/>
  <c r="E65" i="4"/>
  <c r="H74" i="4"/>
  <c r="H80" i="4" s="1"/>
  <c r="P33" i="4"/>
  <c r="I19" i="4"/>
  <c r="I29" i="4" s="1"/>
  <c r="H52" i="4"/>
  <c r="F65" i="4"/>
  <c r="N11" i="4"/>
  <c r="R16" i="4"/>
  <c r="U24" i="4"/>
  <c r="V76" i="4"/>
  <c r="G44" i="4"/>
  <c r="I52" i="4"/>
  <c r="T52" i="4" s="1"/>
  <c r="G65" i="4"/>
  <c r="S15" i="4"/>
  <c r="O83" i="4"/>
  <c r="H65" i="4"/>
  <c r="S65" i="4" s="1"/>
  <c r="AD65" i="4" s="1"/>
  <c r="O75" i="4"/>
  <c r="B84" i="4"/>
  <c r="B88" i="4" s="1"/>
  <c r="B91" i="4" s="1"/>
  <c r="B93" i="4" s="1"/>
  <c r="B96" i="4"/>
  <c r="B19" i="4"/>
  <c r="B29" i="4" s="1"/>
  <c r="B21" i="4"/>
  <c r="B66" i="4"/>
  <c r="M66" i="4" s="1"/>
  <c r="M60" i="4"/>
  <c r="B65" i="4"/>
  <c r="M23" i="4"/>
  <c r="Y23" i="4" s="1"/>
  <c r="M14" i="4"/>
  <c r="M63" i="4"/>
  <c r="B133" i="4"/>
  <c r="M57" i="4"/>
  <c r="M44" i="4"/>
  <c r="M65" i="4"/>
  <c r="Y65" i="4" s="1"/>
  <c r="M52" i="4"/>
  <c r="M82" i="4"/>
  <c r="M86" i="4"/>
  <c r="M41" i="4"/>
  <c r="M38" i="4"/>
  <c r="T9" i="4"/>
  <c r="M9" i="4"/>
  <c r="U9" i="4"/>
  <c r="N9" i="4"/>
  <c r="V9" i="4"/>
  <c r="P21" i="4"/>
  <c r="P19" i="4"/>
  <c r="AA19" i="4" s="1"/>
  <c r="O9" i="4"/>
  <c r="R65" i="4"/>
  <c r="AC65" i="4" s="1"/>
  <c r="R59" i="4"/>
  <c r="AC59" i="4" s="1"/>
  <c r="U73" i="4"/>
  <c r="C179" i="4"/>
  <c r="N81" i="4"/>
  <c r="P85" i="4"/>
  <c r="P86" i="4"/>
  <c r="R9" i="4"/>
  <c r="N10" i="4"/>
  <c r="V10" i="4"/>
  <c r="P15" i="4"/>
  <c r="S33" i="4"/>
  <c r="R48" i="4"/>
  <c r="AC48" i="4" s="1"/>
  <c r="O57" i="4"/>
  <c r="T59" i="4"/>
  <c r="AE59" i="4" s="1"/>
  <c r="S63" i="4"/>
  <c r="O65" i="4"/>
  <c r="Z65" i="4" s="1"/>
  <c r="M74" i="4"/>
  <c r="M75" i="4"/>
  <c r="U74" i="4"/>
  <c r="U75" i="4"/>
  <c r="U25" i="4"/>
  <c r="T33" i="4"/>
  <c r="N44" i="4"/>
  <c r="T66" i="4"/>
  <c r="T65" i="4"/>
  <c r="AE65" i="4" s="1"/>
  <c r="T48" i="4"/>
  <c r="AE48" i="4" s="1"/>
  <c r="S54" i="4"/>
  <c r="AD54" i="4" s="1"/>
  <c r="U63" i="4"/>
  <c r="Q65" i="4"/>
  <c r="AB65" i="4" s="1"/>
  <c r="E179" i="4"/>
  <c r="P81" i="4"/>
  <c r="S85" i="4"/>
  <c r="S87" i="4"/>
  <c r="O10" i="4"/>
  <c r="M16" i="4"/>
  <c r="M25" i="4"/>
  <c r="S40" i="4"/>
  <c r="U52" i="4"/>
  <c r="R57" i="4"/>
  <c r="H201" i="4"/>
  <c r="S71" i="4"/>
  <c r="AD71" i="4" s="1"/>
  <c r="H150" i="4"/>
  <c r="S150" i="4" s="1"/>
  <c r="P74" i="4"/>
  <c r="K179" i="4"/>
  <c r="V81" i="4"/>
  <c r="Q15" i="4"/>
  <c r="Q24" i="4"/>
  <c r="Q44" i="4"/>
  <c r="T54" i="4"/>
  <c r="AE54" i="4" s="1"/>
  <c r="T57" i="4"/>
  <c r="S24" i="4"/>
  <c r="P38" i="4"/>
  <c r="N33" i="4"/>
  <c r="V33" i="4"/>
  <c r="R44" i="4"/>
  <c r="N59" i="4"/>
  <c r="N63" i="4"/>
  <c r="V59" i="4"/>
  <c r="AG59" i="4" s="1"/>
  <c r="V63" i="4"/>
  <c r="I201" i="4"/>
  <c r="I150" i="4"/>
  <c r="T150" i="4" s="1"/>
  <c r="R82" i="4"/>
  <c r="P82" i="4"/>
  <c r="M87" i="4"/>
  <c r="M85" i="4"/>
  <c r="O38" i="4"/>
  <c r="U38" i="4"/>
  <c r="U39" i="4"/>
  <c r="O33" i="4"/>
  <c r="O44" i="4"/>
  <c r="O66" i="4"/>
  <c r="S52" i="4"/>
  <c r="O63" i="4"/>
  <c r="B201" i="4"/>
  <c r="B150" i="4"/>
  <c r="M150" i="4" s="1"/>
  <c r="J201" i="4"/>
  <c r="J150" i="4"/>
  <c r="U150" i="4" s="1"/>
  <c r="P44" i="4"/>
  <c r="T42" i="4"/>
  <c r="P65" i="4"/>
  <c r="AA65" i="4" s="1"/>
  <c r="P66" i="4"/>
  <c r="N73" i="4"/>
  <c r="S73" i="4"/>
  <c r="T75" i="4"/>
  <c r="S83" i="4"/>
  <c r="Q36" i="4"/>
  <c r="V44" i="4"/>
  <c r="Q48" i="4"/>
  <c r="AB48" i="4" s="1"/>
  <c r="Q66" i="4"/>
  <c r="Q63" i="4"/>
  <c r="R66" i="4"/>
  <c r="D150" i="4"/>
  <c r="O150" i="4" s="1"/>
  <c r="O71" i="4"/>
  <c r="Z71" i="4" s="1"/>
  <c r="D201" i="4"/>
  <c r="T73" i="4"/>
  <c r="S75" i="4"/>
  <c r="S48" i="4"/>
  <c r="AD48" i="4" s="1"/>
  <c r="N49" i="4"/>
  <c r="V49" i="4"/>
  <c r="Q55" i="4"/>
  <c r="P60" i="4"/>
  <c r="Q85" i="4"/>
  <c r="Q86" i="4"/>
  <c r="O86" i="4"/>
  <c r="B205" i="4"/>
  <c r="R85" i="4"/>
  <c r="R86" i="4"/>
  <c r="K150" i="4"/>
  <c r="V150" i="4" s="1"/>
  <c r="J179" i="4"/>
  <c r="U81" i="4"/>
  <c r="D179" i="4"/>
  <c r="O81" i="4"/>
  <c r="U95" i="4"/>
  <c r="H133" i="4"/>
  <c r="I133" i="4"/>
  <c r="I248" i="4"/>
  <c r="Q82" i="4"/>
  <c r="B248" i="4"/>
  <c r="J248" i="4"/>
  <c r="H248" i="4"/>
  <c r="D177" i="4"/>
  <c r="O95" i="4"/>
  <c r="M95" i="4"/>
  <c r="C248" i="4"/>
  <c r="K248" i="4"/>
  <c r="C201" i="4"/>
  <c r="C150" i="4"/>
  <c r="N150" i="4" s="1"/>
  <c r="N71" i="4"/>
  <c r="K201" i="4"/>
  <c r="V71" i="4"/>
  <c r="AG71" i="4" s="1"/>
  <c r="N74" i="4"/>
  <c r="N75" i="4"/>
  <c r="V74" i="4"/>
  <c r="V75" i="4"/>
  <c r="B179" i="4"/>
  <c r="M81" i="4"/>
  <c r="U85" i="4"/>
  <c r="E177" i="4"/>
  <c r="P95" i="4"/>
  <c r="N95" i="4"/>
  <c r="P71" i="4"/>
  <c r="AA71" i="4" s="1"/>
  <c r="B205" i="3"/>
  <c r="N204" i="3"/>
  <c r="M204" i="3"/>
  <c r="M203" i="3"/>
  <c r="X261" i="3" l="1"/>
  <c r="B204" i="3"/>
  <c r="B259" i="3"/>
  <c r="K248" i="3"/>
  <c r="V248" i="3" s="1"/>
  <c r="X260" i="3"/>
  <c r="X259" i="3"/>
  <c r="K84" i="3"/>
  <c r="K88" i="3" s="1"/>
  <c r="K91" i="3" s="1"/>
  <c r="K93" i="3" s="1"/>
  <c r="K96" i="3"/>
  <c r="K21" i="3"/>
  <c r="H96" i="4"/>
  <c r="H84" i="4"/>
  <c r="H88" i="4" s="1"/>
  <c r="H91" i="4" s="1"/>
  <c r="H93" i="4" s="1"/>
  <c r="N177" i="4"/>
  <c r="C21" i="4"/>
  <c r="N21" i="4" s="1"/>
  <c r="D21" i="4"/>
  <c r="J84" i="4"/>
  <c r="J88" i="4" s="1"/>
  <c r="J91" i="4" s="1"/>
  <c r="J93" i="4" s="1"/>
  <c r="J96" i="4"/>
  <c r="I84" i="4"/>
  <c r="I88" i="4" s="1"/>
  <c r="I91" i="4" s="1"/>
  <c r="I93" i="4" s="1"/>
  <c r="I96" i="4"/>
  <c r="G21" i="4"/>
  <c r="R21" i="4" s="1"/>
  <c r="S74" i="4"/>
  <c r="G96" i="4"/>
  <c r="G84" i="4"/>
  <c r="G88" i="4" s="1"/>
  <c r="G91" i="4" s="1"/>
  <c r="G93" i="4" s="1"/>
  <c r="H21" i="4"/>
  <c r="I21" i="4"/>
  <c r="T21" i="4" s="1"/>
  <c r="R19" i="4"/>
  <c r="AC19" i="4" s="1"/>
  <c r="M21" i="4"/>
  <c r="V73" i="4"/>
  <c r="F179" i="4"/>
  <c r="M179" i="4" s="1"/>
  <c r="Q81" i="4"/>
  <c r="S19" i="4"/>
  <c r="AD19" i="4" s="1"/>
  <c r="V19" i="4"/>
  <c r="AG19" i="4" s="1"/>
  <c r="G154" i="4"/>
  <c r="R154" i="4" s="1"/>
  <c r="R29" i="4"/>
  <c r="AC29" i="4" s="1"/>
  <c r="P73" i="4"/>
  <c r="M201" i="4"/>
  <c r="M206" i="4" s="1"/>
  <c r="N201" i="4"/>
  <c r="N206" i="4" s="1"/>
  <c r="T80" i="4"/>
  <c r="M73" i="4"/>
  <c r="S21" i="4"/>
  <c r="R73" i="4"/>
  <c r="O19" i="4"/>
  <c r="Z19" i="4" s="1"/>
  <c r="R81" i="4"/>
  <c r="G179" i="4"/>
  <c r="O21" i="4"/>
  <c r="M19" i="4"/>
  <c r="Y19" i="4" s="1"/>
  <c r="M177" i="4"/>
  <c r="Q73" i="4"/>
  <c r="O73" i="4"/>
  <c r="E154" i="4"/>
  <c r="P154" i="4" s="1"/>
  <c r="P29" i="4"/>
  <c r="AA29" i="4" s="1"/>
  <c r="N19" i="4"/>
  <c r="S81" i="4"/>
  <c r="H179" i="4"/>
  <c r="Q19" i="4"/>
  <c r="AB19" i="4" s="1"/>
  <c r="T19" i="4"/>
  <c r="AE19" i="4" s="1"/>
  <c r="V21" i="4"/>
  <c r="U19" i="4"/>
  <c r="AF19" i="4" s="1"/>
  <c r="V62" i="3"/>
  <c r="J62" i="3"/>
  <c r="U62" i="3" s="1"/>
  <c r="I62" i="3"/>
  <c r="T62" i="3" s="1"/>
  <c r="H62" i="3"/>
  <c r="S62" i="3" s="1"/>
  <c r="G62" i="3"/>
  <c r="R62" i="3" s="1"/>
  <c r="F62" i="3"/>
  <c r="Q62" i="3" s="1"/>
  <c r="E62" i="3"/>
  <c r="P62" i="3" s="1"/>
  <c r="D62" i="3"/>
  <c r="O62" i="3" s="1"/>
  <c r="C62" i="3"/>
  <c r="N62" i="3" s="1"/>
  <c r="B62" i="3"/>
  <c r="M62" i="3" s="1"/>
  <c r="V61" i="3"/>
  <c r="V60" i="3"/>
  <c r="J61" i="3"/>
  <c r="U61" i="3" s="1"/>
  <c r="I61" i="3"/>
  <c r="T61" i="3" s="1"/>
  <c r="H61" i="3"/>
  <c r="S61" i="3" s="1"/>
  <c r="G61" i="3"/>
  <c r="R61" i="3" s="1"/>
  <c r="F61" i="3"/>
  <c r="Q61" i="3" s="1"/>
  <c r="E61" i="3"/>
  <c r="P61" i="3" s="1"/>
  <c r="D61" i="3"/>
  <c r="O61" i="3" s="1"/>
  <c r="C61" i="3"/>
  <c r="N61" i="3" s="1"/>
  <c r="J60" i="3"/>
  <c r="I60" i="3"/>
  <c r="T60" i="3" s="1"/>
  <c r="H60" i="3"/>
  <c r="S60" i="3" s="1"/>
  <c r="G60" i="3"/>
  <c r="R60" i="3" s="1"/>
  <c r="F60" i="3"/>
  <c r="Q60" i="3" s="1"/>
  <c r="E60" i="3"/>
  <c r="P60" i="3" s="1"/>
  <c r="D60" i="3"/>
  <c r="O60" i="3" s="1"/>
  <c r="C60" i="3"/>
  <c r="N60" i="3" s="1"/>
  <c r="B61" i="3"/>
  <c r="M61" i="3" s="1"/>
  <c r="B60" i="3"/>
  <c r="M60" i="3" s="1"/>
  <c r="V55" i="3"/>
  <c r="J55" i="3"/>
  <c r="U55" i="3" s="1"/>
  <c r="I55" i="3"/>
  <c r="T55" i="3" s="1"/>
  <c r="H55" i="3"/>
  <c r="S55" i="3" s="1"/>
  <c r="G55" i="3"/>
  <c r="R55" i="3" s="1"/>
  <c r="F55" i="3"/>
  <c r="Q55" i="3" s="1"/>
  <c r="E55" i="3"/>
  <c r="P55" i="3" s="1"/>
  <c r="D55" i="3"/>
  <c r="O55" i="3" s="1"/>
  <c r="C55" i="3"/>
  <c r="N55" i="3" s="1"/>
  <c r="B55" i="3"/>
  <c r="M55" i="3" s="1"/>
  <c r="V56" i="3"/>
  <c r="J56" i="3"/>
  <c r="U56" i="3" s="1"/>
  <c r="I56" i="3"/>
  <c r="T56" i="3" s="1"/>
  <c r="H56" i="3"/>
  <c r="G56" i="3"/>
  <c r="R56" i="3" s="1"/>
  <c r="F56" i="3"/>
  <c r="Q56" i="3" s="1"/>
  <c r="E56" i="3"/>
  <c r="P56" i="3" s="1"/>
  <c r="D56" i="3"/>
  <c r="C56" i="3"/>
  <c r="N56" i="3" s="1"/>
  <c r="B56" i="3"/>
  <c r="M56" i="3" s="1"/>
  <c r="V51" i="3"/>
  <c r="V50" i="3"/>
  <c r="V49" i="3"/>
  <c r="J51" i="3"/>
  <c r="U51" i="3" s="1"/>
  <c r="I51" i="3"/>
  <c r="T51" i="3" s="1"/>
  <c r="H51" i="3"/>
  <c r="S51" i="3" s="1"/>
  <c r="G51" i="3"/>
  <c r="R51" i="3" s="1"/>
  <c r="F51" i="3"/>
  <c r="Q51" i="3" s="1"/>
  <c r="E51" i="3"/>
  <c r="P51" i="3" s="1"/>
  <c r="D51" i="3"/>
  <c r="O51" i="3" s="1"/>
  <c r="C51" i="3"/>
  <c r="N51" i="3" s="1"/>
  <c r="J50" i="3"/>
  <c r="U50" i="3" s="1"/>
  <c r="I50" i="3"/>
  <c r="T50" i="3" s="1"/>
  <c r="H50" i="3"/>
  <c r="S50" i="3" s="1"/>
  <c r="G50" i="3"/>
  <c r="R50" i="3" s="1"/>
  <c r="F50" i="3"/>
  <c r="Q50" i="3" s="1"/>
  <c r="E50" i="3"/>
  <c r="P50" i="3" s="1"/>
  <c r="D50" i="3"/>
  <c r="O50" i="3" s="1"/>
  <c r="C50" i="3"/>
  <c r="N50" i="3" s="1"/>
  <c r="J49" i="3"/>
  <c r="U49" i="3" s="1"/>
  <c r="I49" i="3"/>
  <c r="T49" i="3" s="1"/>
  <c r="H49" i="3"/>
  <c r="S49" i="3" s="1"/>
  <c r="G49" i="3"/>
  <c r="R49" i="3" s="1"/>
  <c r="F49" i="3"/>
  <c r="E49" i="3"/>
  <c r="D49" i="3"/>
  <c r="O49" i="3" s="1"/>
  <c r="C49" i="3"/>
  <c r="N49" i="3" s="1"/>
  <c r="B51" i="3"/>
  <c r="M51" i="3" s="1"/>
  <c r="B50" i="3"/>
  <c r="M50" i="3" s="1"/>
  <c r="B49" i="3"/>
  <c r="M49" i="3" s="1"/>
  <c r="B258" i="3" l="1"/>
  <c r="M258" i="3" s="1"/>
  <c r="M259" i="3"/>
  <c r="N179" i="4"/>
  <c r="O80" i="4"/>
  <c r="K154" i="4"/>
  <c r="V154" i="4" s="1"/>
  <c r="V29" i="4"/>
  <c r="AG29" i="4" s="1"/>
  <c r="N80" i="4"/>
  <c r="Q80" i="4"/>
  <c r="D153" i="4"/>
  <c r="O153" i="4" s="1"/>
  <c r="Z153" i="4" s="1"/>
  <c r="Z154" i="4" s="1"/>
  <c r="D154" i="4"/>
  <c r="O154" i="4" s="1"/>
  <c r="O29" i="4"/>
  <c r="Z29" i="4" s="1"/>
  <c r="H154" i="4"/>
  <c r="S154" i="4" s="1"/>
  <c r="S29" i="4"/>
  <c r="AD29" i="4" s="1"/>
  <c r="C154" i="4"/>
  <c r="N154" i="4" s="1"/>
  <c r="N29" i="4"/>
  <c r="S80" i="4"/>
  <c r="M80" i="4"/>
  <c r="F153" i="4"/>
  <c r="Q153" i="4" s="1"/>
  <c r="AB153" i="4" s="1"/>
  <c r="AB154" i="4" s="1"/>
  <c r="F154" i="4"/>
  <c r="Q154" i="4" s="1"/>
  <c r="Q29" i="4"/>
  <c r="AB29" i="4" s="1"/>
  <c r="P80" i="4"/>
  <c r="I154" i="4"/>
  <c r="T154" i="4" s="1"/>
  <c r="I153" i="4"/>
  <c r="T153" i="4" s="1"/>
  <c r="AE153" i="4" s="1"/>
  <c r="AE154" i="4" s="1"/>
  <c r="T29" i="4"/>
  <c r="AE29" i="4" s="1"/>
  <c r="R80" i="4"/>
  <c r="I178" i="4"/>
  <c r="I151" i="4"/>
  <c r="T151" i="4" s="1"/>
  <c r="AE151" i="4" s="1"/>
  <c r="T96" i="4"/>
  <c r="AE96" i="4" s="1"/>
  <c r="J154" i="4"/>
  <c r="U154" i="4" s="1"/>
  <c r="U29" i="4"/>
  <c r="AF29" i="4" s="1"/>
  <c r="B154" i="4"/>
  <c r="M154" i="4" s="1"/>
  <c r="B153" i="4"/>
  <c r="M153" i="4" s="1"/>
  <c r="Y153" i="4" s="1"/>
  <c r="Y154" i="4" s="1"/>
  <c r="M29" i="4"/>
  <c r="Y29" i="4" s="1"/>
  <c r="T84" i="4"/>
  <c r="K153" i="4"/>
  <c r="V153" i="4" s="1"/>
  <c r="AG153" i="4" s="1"/>
  <c r="AG154" i="4" s="1"/>
  <c r="V80" i="4"/>
  <c r="U80" i="4"/>
  <c r="U60" i="3"/>
  <c r="S56" i="3"/>
  <c r="O56" i="3"/>
  <c r="P49" i="3"/>
  <c r="Q49" i="3"/>
  <c r="V32" i="3"/>
  <c r="V33" i="3"/>
  <c r="V34" i="3"/>
  <c r="V36" i="3"/>
  <c r="V37" i="3"/>
  <c r="V39" i="3"/>
  <c r="V40" i="3"/>
  <c r="V41" i="3"/>
  <c r="V42" i="3"/>
  <c r="V43" i="3"/>
  <c r="J37" i="3"/>
  <c r="U37" i="3" s="1"/>
  <c r="I37" i="3"/>
  <c r="T37" i="3" s="1"/>
  <c r="H37" i="3"/>
  <c r="S37" i="3" s="1"/>
  <c r="G37" i="3"/>
  <c r="F37" i="3"/>
  <c r="Q37" i="3" s="1"/>
  <c r="E37" i="3"/>
  <c r="P37" i="3" s="1"/>
  <c r="D37" i="3"/>
  <c r="O37" i="3" s="1"/>
  <c r="C37" i="3"/>
  <c r="N37" i="3" s="1"/>
  <c r="J36" i="3"/>
  <c r="U36" i="3" s="1"/>
  <c r="I36" i="3"/>
  <c r="T36" i="3" s="1"/>
  <c r="H36" i="3"/>
  <c r="S36" i="3" s="1"/>
  <c r="G36" i="3"/>
  <c r="R36" i="3" s="1"/>
  <c r="F36" i="3"/>
  <c r="Q36" i="3" s="1"/>
  <c r="E36" i="3"/>
  <c r="P36" i="3" s="1"/>
  <c r="D36" i="3"/>
  <c r="O36" i="3" s="1"/>
  <c r="C36" i="3"/>
  <c r="N36" i="3" s="1"/>
  <c r="J35" i="3"/>
  <c r="I35" i="3"/>
  <c r="H35" i="3"/>
  <c r="G35" i="3"/>
  <c r="F35" i="3"/>
  <c r="E35" i="3"/>
  <c r="D35" i="3"/>
  <c r="C35" i="3"/>
  <c r="J34" i="3"/>
  <c r="U34" i="3" s="1"/>
  <c r="I34" i="3"/>
  <c r="H34" i="3"/>
  <c r="G34" i="3"/>
  <c r="R34" i="3" s="1"/>
  <c r="F34" i="3"/>
  <c r="Q34" i="3" s="1"/>
  <c r="E34" i="3"/>
  <c r="P34" i="3" s="1"/>
  <c r="D34" i="3"/>
  <c r="O34" i="3" s="1"/>
  <c r="C34" i="3"/>
  <c r="N34" i="3" s="1"/>
  <c r="B35" i="3"/>
  <c r="B37" i="3"/>
  <c r="M37" i="3" s="1"/>
  <c r="B36" i="3"/>
  <c r="M36" i="3" s="1"/>
  <c r="B34" i="3"/>
  <c r="M34" i="3" s="1"/>
  <c r="N140" i="3"/>
  <c r="V139" i="3"/>
  <c r="U139" i="3"/>
  <c r="T139" i="3"/>
  <c r="S139" i="3"/>
  <c r="R139" i="3"/>
  <c r="Q139" i="3"/>
  <c r="P139" i="3"/>
  <c r="O139" i="3"/>
  <c r="N139" i="3"/>
  <c r="M139" i="3"/>
  <c r="R138" i="3"/>
  <c r="Q138" i="3"/>
  <c r="P138" i="3"/>
  <c r="O138" i="3"/>
  <c r="N138" i="3"/>
  <c r="M138" i="3"/>
  <c r="U107" i="3"/>
  <c r="T107" i="3"/>
  <c r="S107" i="3"/>
  <c r="R107" i="3"/>
  <c r="Q107" i="3"/>
  <c r="P107" i="3"/>
  <c r="O107" i="3"/>
  <c r="N107" i="3"/>
  <c r="M107" i="3"/>
  <c r="V94" i="3"/>
  <c r="U94" i="3"/>
  <c r="T94" i="3"/>
  <c r="S94" i="3"/>
  <c r="R94" i="3"/>
  <c r="Q94" i="3"/>
  <c r="P94" i="3"/>
  <c r="O94" i="3"/>
  <c r="N94" i="3"/>
  <c r="M94" i="3"/>
  <c r="V89" i="3"/>
  <c r="U89" i="3"/>
  <c r="T89" i="3"/>
  <c r="S89" i="3"/>
  <c r="R89" i="3"/>
  <c r="Q89" i="3"/>
  <c r="P89" i="3"/>
  <c r="O89" i="3"/>
  <c r="N89" i="3"/>
  <c r="M89" i="3"/>
  <c r="V11" i="3"/>
  <c r="V15" i="3"/>
  <c r="V16" i="3"/>
  <c r="V25" i="3"/>
  <c r="V27" i="3"/>
  <c r="V46" i="3"/>
  <c r="AG46" i="3" s="1"/>
  <c r="V48" i="3"/>
  <c r="V54" i="3"/>
  <c r="V59" i="3"/>
  <c r="AG59" i="3" s="1"/>
  <c r="K201" i="3"/>
  <c r="V72" i="3"/>
  <c r="V76" i="3"/>
  <c r="V77" i="3"/>
  <c r="V78" i="3"/>
  <c r="V79" i="3"/>
  <c r="V82" i="3"/>
  <c r="V83" i="3"/>
  <c r="V87" i="3"/>
  <c r="V90" i="3"/>
  <c r="V92" i="3"/>
  <c r="V95" i="3"/>
  <c r="V107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H127" i="3" s="1"/>
  <c r="H133" i="3" s="1"/>
  <c r="G128" i="3"/>
  <c r="G127" i="3" s="1"/>
  <c r="G133" i="3" s="1"/>
  <c r="F128" i="3"/>
  <c r="E128" i="3"/>
  <c r="D128" i="3"/>
  <c r="C128" i="3"/>
  <c r="J120" i="3"/>
  <c r="J138" i="3" s="1"/>
  <c r="U138" i="3" s="1"/>
  <c r="I120" i="3"/>
  <c r="H120" i="3"/>
  <c r="H140" i="3" s="1"/>
  <c r="S140" i="3" s="1"/>
  <c r="G120" i="3"/>
  <c r="G140" i="3" s="1"/>
  <c r="R140" i="3" s="1"/>
  <c r="F120" i="3"/>
  <c r="F140" i="3" s="1"/>
  <c r="Q140" i="3" s="1"/>
  <c r="E120" i="3"/>
  <c r="E140" i="3" s="1"/>
  <c r="P140" i="3" s="1"/>
  <c r="D120" i="3"/>
  <c r="D140" i="3" s="1"/>
  <c r="O140" i="3" s="1"/>
  <c r="C120" i="3"/>
  <c r="J95" i="3"/>
  <c r="U95" i="3" s="1"/>
  <c r="I95" i="3"/>
  <c r="T95" i="3" s="1"/>
  <c r="H95" i="3"/>
  <c r="S95" i="3" s="1"/>
  <c r="G95" i="3"/>
  <c r="G177" i="3" s="1"/>
  <c r="F95" i="3"/>
  <c r="Q95" i="3" s="1"/>
  <c r="E95" i="3"/>
  <c r="P95" i="3" s="1"/>
  <c r="D95" i="3"/>
  <c r="O95" i="3" s="1"/>
  <c r="C95" i="3"/>
  <c r="J92" i="3"/>
  <c r="U92" i="3" s="1"/>
  <c r="I92" i="3"/>
  <c r="T92" i="3" s="1"/>
  <c r="H92" i="3"/>
  <c r="S92" i="3" s="1"/>
  <c r="G92" i="3"/>
  <c r="R92" i="3" s="1"/>
  <c r="F92" i="3"/>
  <c r="Q92" i="3" s="1"/>
  <c r="E92" i="3"/>
  <c r="P92" i="3" s="1"/>
  <c r="D92" i="3"/>
  <c r="O92" i="3" s="1"/>
  <c r="C92" i="3"/>
  <c r="N92" i="3" s="1"/>
  <c r="J90" i="3"/>
  <c r="U90" i="3" s="1"/>
  <c r="I90" i="3"/>
  <c r="T90" i="3" s="1"/>
  <c r="H90" i="3"/>
  <c r="S90" i="3" s="1"/>
  <c r="G90" i="3"/>
  <c r="R90" i="3" s="1"/>
  <c r="F90" i="3"/>
  <c r="Q90" i="3" s="1"/>
  <c r="E90" i="3"/>
  <c r="P90" i="3" s="1"/>
  <c r="D90" i="3"/>
  <c r="O90" i="3" s="1"/>
  <c r="C90" i="3"/>
  <c r="N90" i="3" s="1"/>
  <c r="J87" i="3"/>
  <c r="U87" i="3" s="1"/>
  <c r="I87" i="3"/>
  <c r="T87" i="3" s="1"/>
  <c r="H87" i="3"/>
  <c r="S87" i="3" s="1"/>
  <c r="G87" i="3"/>
  <c r="R87" i="3" s="1"/>
  <c r="F87" i="3"/>
  <c r="Q87" i="3" s="1"/>
  <c r="E87" i="3"/>
  <c r="P87" i="3" s="1"/>
  <c r="D87" i="3"/>
  <c r="O87" i="3" s="1"/>
  <c r="C87" i="3"/>
  <c r="N87" i="3" s="1"/>
  <c r="J86" i="3"/>
  <c r="U86" i="3" s="1"/>
  <c r="I86" i="3"/>
  <c r="T86" i="3" s="1"/>
  <c r="H86" i="3"/>
  <c r="S86" i="3" s="1"/>
  <c r="G86" i="3"/>
  <c r="G85" i="3" s="1"/>
  <c r="R85" i="3" s="1"/>
  <c r="F86" i="3"/>
  <c r="E86" i="3"/>
  <c r="P86" i="3" s="1"/>
  <c r="D86" i="3"/>
  <c r="O86" i="3" s="1"/>
  <c r="C86" i="3"/>
  <c r="N86" i="3" s="1"/>
  <c r="J83" i="3"/>
  <c r="U83" i="3" s="1"/>
  <c r="I83" i="3"/>
  <c r="T83" i="3" s="1"/>
  <c r="H83" i="3"/>
  <c r="S83" i="3" s="1"/>
  <c r="G83" i="3"/>
  <c r="R83" i="3" s="1"/>
  <c r="F83" i="3"/>
  <c r="Q83" i="3" s="1"/>
  <c r="E83" i="3"/>
  <c r="P83" i="3" s="1"/>
  <c r="D83" i="3"/>
  <c r="O83" i="3" s="1"/>
  <c r="C83" i="3"/>
  <c r="N83" i="3" s="1"/>
  <c r="J82" i="3"/>
  <c r="U82" i="3" s="1"/>
  <c r="I82" i="3"/>
  <c r="T82" i="3" s="1"/>
  <c r="H82" i="3"/>
  <c r="S82" i="3" s="1"/>
  <c r="G82" i="3"/>
  <c r="F82" i="3"/>
  <c r="Q82" i="3" s="1"/>
  <c r="E82" i="3"/>
  <c r="D82" i="3"/>
  <c r="O82" i="3" s="1"/>
  <c r="C82" i="3"/>
  <c r="J79" i="3"/>
  <c r="U79" i="3" s="1"/>
  <c r="I79" i="3"/>
  <c r="T79" i="3" s="1"/>
  <c r="H79" i="3"/>
  <c r="S79" i="3" s="1"/>
  <c r="G79" i="3"/>
  <c r="R79" i="3" s="1"/>
  <c r="F79" i="3"/>
  <c r="Q79" i="3" s="1"/>
  <c r="E79" i="3"/>
  <c r="P79" i="3" s="1"/>
  <c r="D79" i="3"/>
  <c r="O79" i="3" s="1"/>
  <c r="C79" i="3"/>
  <c r="N79" i="3" s="1"/>
  <c r="J78" i="3"/>
  <c r="U78" i="3" s="1"/>
  <c r="I78" i="3"/>
  <c r="T78" i="3" s="1"/>
  <c r="H78" i="3"/>
  <c r="S78" i="3" s="1"/>
  <c r="G78" i="3"/>
  <c r="R78" i="3" s="1"/>
  <c r="F78" i="3"/>
  <c r="Q78" i="3" s="1"/>
  <c r="E78" i="3"/>
  <c r="P78" i="3" s="1"/>
  <c r="D78" i="3"/>
  <c r="O78" i="3" s="1"/>
  <c r="C78" i="3"/>
  <c r="N78" i="3" s="1"/>
  <c r="J77" i="3"/>
  <c r="U77" i="3" s="1"/>
  <c r="I77" i="3"/>
  <c r="T77" i="3" s="1"/>
  <c r="H77" i="3"/>
  <c r="S77" i="3" s="1"/>
  <c r="G77" i="3"/>
  <c r="R77" i="3" s="1"/>
  <c r="F77" i="3"/>
  <c r="Q77" i="3" s="1"/>
  <c r="E77" i="3"/>
  <c r="P77" i="3" s="1"/>
  <c r="D77" i="3"/>
  <c r="O77" i="3" s="1"/>
  <c r="C77" i="3"/>
  <c r="N77" i="3" s="1"/>
  <c r="J76" i="3"/>
  <c r="U76" i="3" s="1"/>
  <c r="I76" i="3"/>
  <c r="T76" i="3" s="1"/>
  <c r="H76" i="3"/>
  <c r="S76" i="3" s="1"/>
  <c r="G76" i="3"/>
  <c r="R76" i="3" s="1"/>
  <c r="F76" i="3"/>
  <c r="Q76" i="3" s="1"/>
  <c r="E76" i="3"/>
  <c r="P76" i="3" s="1"/>
  <c r="D76" i="3"/>
  <c r="O76" i="3" s="1"/>
  <c r="C76" i="3"/>
  <c r="N76" i="3" s="1"/>
  <c r="J75" i="3"/>
  <c r="U75" i="3" s="1"/>
  <c r="I75" i="3"/>
  <c r="T75" i="3" s="1"/>
  <c r="H75" i="3"/>
  <c r="S75" i="3" s="1"/>
  <c r="G75" i="3"/>
  <c r="R75" i="3" s="1"/>
  <c r="F75" i="3"/>
  <c r="Q75" i="3" s="1"/>
  <c r="E75" i="3"/>
  <c r="P75" i="3" s="1"/>
  <c r="D75" i="3"/>
  <c r="O75" i="3" s="1"/>
  <c r="C75" i="3"/>
  <c r="J72" i="3"/>
  <c r="U72" i="3" s="1"/>
  <c r="I72" i="3"/>
  <c r="T72" i="3" s="1"/>
  <c r="H72" i="3"/>
  <c r="S72" i="3" s="1"/>
  <c r="G72" i="3"/>
  <c r="R72" i="3" s="1"/>
  <c r="F72" i="3"/>
  <c r="Q72" i="3" s="1"/>
  <c r="E72" i="3"/>
  <c r="P72" i="3" s="1"/>
  <c r="D72" i="3"/>
  <c r="O72" i="3" s="1"/>
  <c r="C72" i="3"/>
  <c r="N72" i="3" s="1"/>
  <c r="J71" i="3"/>
  <c r="J201" i="3" s="1"/>
  <c r="I71" i="3"/>
  <c r="I201" i="3" s="1"/>
  <c r="H71" i="3"/>
  <c r="H201" i="3" s="1"/>
  <c r="G71" i="3"/>
  <c r="G201" i="3" s="1"/>
  <c r="F71" i="3"/>
  <c r="E71" i="3"/>
  <c r="E201" i="3" s="1"/>
  <c r="D71" i="3"/>
  <c r="C71" i="3"/>
  <c r="J59" i="3"/>
  <c r="U59" i="3" s="1"/>
  <c r="AF59" i="3" s="1"/>
  <c r="I59" i="3"/>
  <c r="T59" i="3" s="1"/>
  <c r="AE59" i="3" s="1"/>
  <c r="H59" i="3"/>
  <c r="G59" i="3"/>
  <c r="F59" i="3"/>
  <c r="Q59" i="3" s="1"/>
  <c r="AB59" i="3" s="1"/>
  <c r="E59" i="3"/>
  <c r="E63" i="3" s="1"/>
  <c r="P63" i="3" s="1"/>
  <c r="D59" i="3"/>
  <c r="O59" i="3" s="1"/>
  <c r="Z59" i="3" s="1"/>
  <c r="C59" i="3"/>
  <c r="N59" i="3" s="1"/>
  <c r="J54" i="3"/>
  <c r="I54" i="3"/>
  <c r="H54" i="3"/>
  <c r="S54" i="3" s="1"/>
  <c r="AD54" i="3" s="1"/>
  <c r="G54" i="3"/>
  <c r="R54" i="3" s="1"/>
  <c r="AC54" i="3" s="1"/>
  <c r="F54" i="3"/>
  <c r="E54" i="3"/>
  <c r="D54" i="3"/>
  <c r="O54" i="3" s="1"/>
  <c r="Z54" i="3" s="1"/>
  <c r="C54" i="3"/>
  <c r="J48" i="3"/>
  <c r="U48" i="3" s="1"/>
  <c r="I48" i="3"/>
  <c r="H48" i="3"/>
  <c r="S48" i="3" s="1"/>
  <c r="AD48" i="3" s="1"/>
  <c r="G48" i="3"/>
  <c r="R48" i="3" s="1"/>
  <c r="AC48" i="3" s="1"/>
  <c r="F48" i="3"/>
  <c r="Q48" i="3" s="1"/>
  <c r="E48" i="3"/>
  <c r="P48" i="3" s="1"/>
  <c r="D48" i="3"/>
  <c r="O48" i="3" s="1"/>
  <c r="Z48" i="3" s="1"/>
  <c r="C48" i="3"/>
  <c r="N48" i="3" s="1"/>
  <c r="J46" i="3"/>
  <c r="U46" i="3" s="1"/>
  <c r="AF46" i="3" s="1"/>
  <c r="I46" i="3"/>
  <c r="T46" i="3" s="1"/>
  <c r="AE46" i="3" s="1"/>
  <c r="H46" i="3"/>
  <c r="S46" i="3" s="1"/>
  <c r="AD46" i="3" s="1"/>
  <c r="G46" i="3"/>
  <c r="R46" i="3" s="1"/>
  <c r="F46" i="3"/>
  <c r="Q46" i="3" s="1"/>
  <c r="AB46" i="3" s="1"/>
  <c r="E46" i="3"/>
  <c r="D46" i="3"/>
  <c r="O46" i="3" s="1"/>
  <c r="Z46" i="3" s="1"/>
  <c r="C46" i="3"/>
  <c r="N46" i="3" s="1"/>
  <c r="J43" i="3"/>
  <c r="U43" i="3" s="1"/>
  <c r="I43" i="3"/>
  <c r="T43" i="3" s="1"/>
  <c r="H43" i="3"/>
  <c r="S43" i="3" s="1"/>
  <c r="G43" i="3"/>
  <c r="R43" i="3" s="1"/>
  <c r="F43" i="3"/>
  <c r="Q43" i="3" s="1"/>
  <c r="E43" i="3"/>
  <c r="P43" i="3" s="1"/>
  <c r="D43" i="3"/>
  <c r="O43" i="3" s="1"/>
  <c r="C43" i="3"/>
  <c r="N43" i="3" s="1"/>
  <c r="J42" i="3"/>
  <c r="U42" i="3" s="1"/>
  <c r="I42" i="3"/>
  <c r="T42" i="3" s="1"/>
  <c r="H42" i="3"/>
  <c r="S42" i="3" s="1"/>
  <c r="G42" i="3"/>
  <c r="R42" i="3" s="1"/>
  <c r="F42" i="3"/>
  <c r="Q42" i="3" s="1"/>
  <c r="E42" i="3"/>
  <c r="P42" i="3" s="1"/>
  <c r="D42" i="3"/>
  <c r="O42" i="3" s="1"/>
  <c r="C42" i="3"/>
  <c r="N42" i="3" s="1"/>
  <c r="J41" i="3"/>
  <c r="U41" i="3" s="1"/>
  <c r="I41" i="3"/>
  <c r="T41" i="3" s="1"/>
  <c r="H41" i="3"/>
  <c r="S41" i="3" s="1"/>
  <c r="G41" i="3"/>
  <c r="R41" i="3" s="1"/>
  <c r="F41" i="3"/>
  <c r="Q41" i="3" s="1"/>
  <c r="E41" i="3"/>
  <c r="P41" i="3" s="1"/>
  <c r="D41" i="3"/>
  <c r="O41" i="3" s="1"/>
  <c r="C41" i="3"/>
  <c r="N41" i="3" s="1"/>
  <c r="J40" i="3"/>
  <c r="U40" i="3" s="1"/>
  <c r="I40" i="3"/>
  <c r="T40" i="3" s="1"/>
  <c r="H40" i="3"/>
  <c r="S40" i="3" s="1"/>
  <c r="G40" i="3"/>
  <c r="R40" i="3" s="1"/>
  <c r="F40" i="3"/>
  <c r="Q40" i="3" s="1"/>
  <c r="E40" i="3"/>
  <c r="P40" i="3" s="1"/>
  <c r="D40" i="3"/>
  <c r="O40" i="3" s="1"/>
  <c r="C40" i="3"/>
  <c r="N40" i="3" s="1"/>
  <c r="J39" i="3"/>
  <c r="I39" i="3"/>
  <c r="H39" i="3"/>
  <c r="G39" i="3"/>
  <c r="F39" i="3"/>
  <c r="E39" i="3"/>
  <c r="D39" i="3"/>
  <c r="C39" i="3"/>
  <c r="J33" i="3"/>
  <c r="U33" i="3" s="1"/>
  <c r="I33" i="3"/>
  <c r="T33" i="3" s="1"/>
  <c r="H33" i="3"/>
  <c r="S33" i="3" s="1"/>
  <c r="G33" i="3"/>
  <c r="R33" i="3" s="1"/>
  <c r="F33" i="3"/>
  <c r="Q33" i="3" s="1"/>
  <c r="E33" i="3"/>
  <c r="P33" i="3" s="1"/>
  <c r="D33" i="3"/>
  <c r="O33" i="3" s="1"/>
  <c r="C33" i="3"/>
  <c r="N33" i="3" s="1"/>
  <c r="J32" i="3"/>
  <c r="U32" i="3" s="1"/>
  <c r="I32" i="3"/>
  <c r="T32" i="3" s="1"/>
  <c r="H32" i="3"/>
  <c r="S32" i="3" s="1"/>
  <c r="G32" i="3"/>
  <c r="R32" i="3" s="1"/>
  <c r="F32" i="3"/>
  <c r="Q32" i="3" s="1"/>
  <c r="E32" i="3"/>
  <c r="P32" i="3" s="1"/>
  <c r="D32" i="3"/>
  <c r="O32" i="3" s="1"/>
  <c r="C32" i="3"/>
  <c r="N32" i="3" s="1"/>
  <c r="J27" i="3"/>
  <c r="U27" i="3" s="1"/>
  <c r="I27" i="3"/>
  <c r="T27" i="3" s="1"/>
  <c r="H27" i="3"/>
  <c r="S27" i="3" s="1"/>
  <c r="G27" i="3"/>
  <c r="R27" i="3" s="1"/>
  <c r="F27" i="3"/>
  <c r="Q27" i="3" s="1"/>
  <c r="E27" i="3"/>
  <c r="P27" i="3" s="1"/>
  <c r="D27" i="3"/>
  <c r="O27" i="3" s="1"/>
  <c r="C27" i="3"/>
  <c r="N27" i="3" s="1"/>
  <c r="J25" i="3"/>
  <c r="U25" i="3" s="1"/>
  <c r="I25" i="3"/>
  <c r="T25" i="3" s="1"/>
  <c r="H25" i="3"/>
  <c r="S25" i="3" s="1"/>
  <c r="G25" i="3"/>
  <c r="R25" i="3" s="1"/>
  <c r="F25" i="3"/>
  <c r="Q25" i="3" s="1"/>
  <c r="E25" i="3"/>
  <c r="P25" i="3" s="1"/>
  <c r="D25" i="3"/>
  <c r="O25" i="3" s="1"/>
  <c r="C25" i="3"/>
  <c r="N25" i="3" s="1"/>
  <c r="J24" i="3"/>
  <c r="U24" i="3" s="1"/>
  <c r="I24" i="3"/>
  <c r="T24" i="3" s="1"/>
  <c r="H24" i="3"/>
  <c r="S24" i="3" s="1"/>
  <c r="G24" i="3"/>
  <c r="R24" i="3" s="1"/>
  <c r="F24" i="3"/>
  <c r="Q24" i="3" s="1"/>
  <c r="E24" i="3"/>
  <c r="E23" i="3" s="1"/>
  <c r="P23" i="3" s="1"/>
  <c r="D24" i="3"/>
  <c r="O24" i="3" s="1"/>
  <c r="C24" i="3"/>
  <c r="C23" i="3" s="1"/>
  <c r="N23" i="3" s="1"/>
  <c r="J17" i="3"/>
  <c r="I17" i="3"/>
  <c r="H17" i="3"/>
  <c r="G17" i="3"/>
  <c r="F17" i="3"/>
  <c r="E17" i="3"/>
  <c r="D17" i="3"/>
  <c r="C17" i="3"/>
  <c r="J16" i="3"/>
  <c r="U16" i="3" s="1"/>
  <c r="I16" i="3"/>
  <c r="T16" i="3" s="1"/>
  <c r="H16" i="3"/>
  <c r="S16" i="3" s="1"/>
  <c r="G16" i="3"/>
  <c r="R16" i="3" s="1"/>
  <c r="F16" i="3"/>
  <c r="Q16" i="3" s="1"/>
  <c r="E16" i="3"/>
  <c r="P16" i="3" s="1"/>
  <c r="D16" i="3"/>
  <c r="O16" i="3" s="1"/>
  <c r="C16" i="3"/>
  <c r="N16" i="3" s="1"/>
  <c r="J15" i="3"/>
  <c r="U15" i="3" s="1"/>
  <c r="I15" i="3"/>
  <c r="T15" i="3" s="1"/>
  <c r="H15" i="3"/>
  <c r="S15" i="3" s="1"/>
  <c r="G15" i="3"/>
  <c r="R15" i="3" s="1"/>
  <c r="F15" i="3"/>
  <c r="Q15" i="3" s="1"/>
  <c r="E15" i="3"/>
  <c r="P15" i="3" s="1"/>
  <c r="D15" i="3"/>
  <c r="O15" i="3" s="1"/>
  <c r="C15" i="3"/>
  <c r="N15" i="3" s="1"/>
  <c r="J14" i="3"/>
  <c r="U14" i="3" s="1"/>
  <c r="J12" i="3"/>
  <c r="I12" i="3"/>
  <c r="H12" i="3"/>
  <c r="G12" i="3"/>
  <c r="F12" i="3"/>
  <c r="E12" i="3"/>
  <c r="D12" i="3"/>
  <c r="C12" i="3"/>
  <c r="J11" i="3"/>
  <c r="U11" i="3" s="1"/>
  <c r="I11" i="3"/>
  <c r="T11" i="3" s="1"/>
  <c r="H11" i="3"/>
  <c r="S11" i="3" s="1"/>
  <c r="G11" i="3"/>
  <c r="R11" i="3" s="1"/>
  <c r="F11" i="3"/>
  <c r="Q11" i="3" s="1"/>
  <c r="E11" i="3"/>
  <c r="P11" i="3" s="1"/>
  <c r="D11" i="3"/>
  <c r="O11" i="3" s="1"/>
  <c r="C11" i="3"/>
  <c r="N11" i="3" s="1"/>
  <c r="J10" i="3"/>
  <c r="U10" i="3" s="1"/>
  <c r="I10" i="3"/>
  <c r="T10" i="3" s="1"/>
  <c r="H10" i="3"/>
  <c r="S10" i="3" s="1"/>
  <c r="G10" i="3"/>
  <c r="R10" i="3" s="1"/>
  <c r="F10" i="3"/>
  <c r="Q10" i="3" s="1"/>
  <c r="E10" i="3"/>
  <c r="P10" i="3" s="1"/>
  <c r="D10" i="3"/>
  <c r="O10" i="3" s="1"/>
  <c r="C10" i="3"/>
  <c r="N10" i="3" s="1"/>
  <c r="J9" i="3"/>
  <c r="U9" i="3" s="1"/>
  <c r="B10" i="3"/>
  <c r="M10" i="3" s="1"/>
  <c r="B11" i="3"/>
  <c r="M11" i="3" s="1"/>
  <c r="B12" i="3"/>
  <c r="B15" i="3"/>
  <c r="M15" i="3" s="1"/>
  <c r="B16" i="3"/>
  <c r="M16" i="3" s="1"/>
  <c r="B17" i="3"/>
  <c r="B24" i="3"/>
  <c r="B25" i="3"/>
  <c r="M25" i="3" s="1"/>
  <c r="B27" i="3"/>
  <c r="M27" i="3" s="1"/>
  <c r="B32" i="3"/>
  <c r="M32" i="3" s="1"/>
  <c r="B33" i="3"/>
  <c r="M33" i="3" s="1"/>
  <c r="B39" i="3"/>
  <c r="B40" i="3"/>
  <c r="M40" i="3" s="1"/>
  <c r="B41" i="3"/>
  <c r="M41" i="3" s="1"/>
  <c r="B42" i="3"/>
  <c r="M42" i="3" s="1"/>
  <c r="B43" i="3"/>
  <c r="M43" i="3" s="1"/>
  <c r="B46" i="3"/>
  <c r="B48" i="3"/>
  <c r="B54" i="3"/>
  <c r="B59" i="3"/>
  <c r="M59" i="3" s="1"/>
  <c r="Y59" i="3" s="1"/>
  <c r="B71" i="3"/>
  <c r="B72" i="3"/>
  <c r="B75" i="3"/>
  <c r="M75" i="3" s="1"/>
  <c r="B76" i="3"/>
  <c r="M76" i="3" s="1"/>
  <c r="B77" i="3"/>
  <c r="M77" i="3" s="1"/>
  <c r="B78" i="3"/>
  <c r="M78" i="3" s="1"/>
  <c r="B79" i="3"/>
  <c r="M79" i="3" s="1"/>
  <c r="B82" i="3"/>
  <c r="M82" i="3" s="1"/>
  <c r="B83" i="3"/>
  <c r="M83" i="3" s="1"/>
  <c r="B86" i="3"/>
  <c r="M86" i="3" s="1"/>
  <c r="B87" i="3"/>
  <c r="M87" i="3" s="1"/>
  <c r="B90" i="3"/>
  <c r="M90" i="3" s="1"/>
  <c r="B92" i="3"/>
  <c r="M92" i="3" s="1"/>
  <c r="B95" i="3"/>
  <c r="M95" i="3" s="1"/>
  <c r="B120" i="3"/>
  <c r="B140" i="3" s="1"/>
  <c r="M140" i="3" s="1"/>
  <c r="B128" i="3"/>
  <c r="B129" i="3"/>
  <c r="B130" i="3"/>
  <c r="K135" i="3"/>
  <c r="A46" i="3"/>
  <c r="J74" i="3" l="1"/>
  <c r="U74" i="3" s="1"/>
  <c r="F127" i="3"/>
  <c r="F133" i="3" s="1"/>
  <c r="K138" i="3"/>
  <c r="V138" i="3" s="1"/>
  <c r="K127" i="3"/>
  <c r="N84" i="4"/>
  <c r="V84" i="4"/>
  <c r="Q84" i="4"/>
  <c r="U96" i="4"/>
  <c r="AF96" i="4" s="1"/>
  <c r="J178" i="4"/>
  <c r="J151" i="4"/>
  <c r="U151" i="4" s="1"/>
  <c r="AF151" i="4" s="1"/>
  <c r="N96" i="4"/>
  <c r="C151" i="4"/>
  <c r="N151" i="4" s="1"/>
  <c r="C178" i="4"/>
  <c r="J153" i="4"/>
  <c r="U153" i="4" s="1"/>
  <c r="AF153" i="4" s="1"/>
  <c r="AF154" i="4" s="1"/>
  <c r="T88" i="4"/>
  <c r="AE88" i="4" s="1"/>
  <c r="M96" i="4"/>
  <c r="Y96" i="4" s="1"/>
  <c r="B178" i="4"/>
  <c r="B151" i="4"/>
  <c r="M151" i="4" s="1"/>
  <c r="Y151" i="4" s="1"/>
  <c r="C153" i="4"/>
  <c r="N153" i="4" s="1"/>
  <c r="F178" i="4"/>
  <c r="F151" i="4"/>
  <c r="Q151" i="4" s="1"/>
  <c r="AB151" i="4" s="1"/>
  <c r="Q96" i="4"/>
  <c r="AB96" i="4" s="1"/>
  <c r="O84" i="4"/>
  <c r="E178" i="4"/>
  <c r="E151" i="4"/>
  <c r="P151" i="4" s="1"/>
  <c r="AA151" i="4" s="1"/>
  <c r="P96" i="4"/>
  <c r="AA96" i="4" s="1"/>
  <c r="E153" i="4"/>
  <c r="P153" i="4" s="1"/>
  <c r="AA153" i="4" s="1"/>
  <c r="AA154" i="4" s="1"/>
  <c r="M84" i="4"/>
  <c r="R84" i="4"/>
  <c r="S84" i="4"/>
  <c r="U84" i="4"/>
  <c r="G178" i="4"/>
  <c r="G151" i="4"/>
  <c r="R151" i="4" s="1"/>
  <c r="AC151" i="4" s="1"/>
  <c r="R96" i="4"/>
  <c r="AC96" i="4" s="1"/>
  <c r="G153" i="4"/>
  <c r="R153" i="4" s="1"/>
  <c r="AC153" i="4" s="1"/>
  <c r="AC154" i="4" s="1"/>
  <c r="V96" i="4"/>
  <c r="AG96" i="4" s="1"/>
  <c r="K178" i="4"/>
  <c r="K151" i="4"/>
  <c r="V151" i="4" s="1"/>
  <c r="AG151" i="4" s="1"/>
  <c r="P84" i="4"/>
  <c r="H178" i="4"/>
  <c r="H151" i="4"/>
  <c r="S151" i="4" s="1"/>
  <c r="AD151" i="4" s="1"/>
  <c r="S96" i="4"/>
  <c r="AD96" i="4" s="1"/>
  <c r="H153" i="4"/>
  <c r="S153" i="4" s="1"/>
  <c r="AD153" i="4" s="1"/>
  <c r="AD154" i="4" s="1"/>
  <c r="D178" i="4"/>
  <c r="D151" i="4"/>
  <c r="O151" i="4" s="1"/>
  <c r="Z151" i="4" s="1"/>
  <c r="O96" i="4"/>
  <c r="Z96" i="4" s="1"/>
  <c r="D63" i="3"/>
  <c r="O63" i="3" s="1"/>
  <c r="E127" i="3"/>
  <c r="E133" i="3" s="1"/>
  <c r="R59" i="3"/>
  <c r="AC59" i="3" s="1"/>
  <c r="G63" i="3"/>
  <c r="R63" i="3" s="1"/>
  <c r="C63" i="3"/>
  <c r="N63" i="3" s="1"/>
  <c r="I63" i="3"/>
  <c r="T63" i="3" s="1"/>
  <c r="J63" i="3"/>
  <c r="U63" i="3" s="1"/>
  <c r="C73" i="3"/>
  <c r="N73" i="3" s="1"/>
  <c r="C201" i="3"/>
  <c r="C150" i="3"/>
  <c r="N150" i="3" s="1"/>
  <c r="B63" i="3"/>
  <c r="M63" i="3" s="1"/>
  <c r="F73" i="3"/>
  <c r="Q73" i="3" s="1"/>
  <c r="F201" i="3"/>
  <c r="B150" i="3"/>
  <c r="M150" i="3" s="1"/>
  <c r="B201" i="3"/>
  <c r="D73" i="3"/>
  <c r="O73" i="3" s="1"/>
  <c r="D201" i="3"/>
  <c r="N95" i="3"/>
  <c r="C177" i="3"/>
  <c r="F63" i="3"/>
  <c r="Q63" i="3" s="1"/>
  <c r="S59" i="3"/>
  <c r="AD59" i="3" s="1"/>
  <c r="H63" i="3"/>
  <c r="S63" i="3" s="1"/>
  <c r="G81" i="3"/>
  <c r="R81" i="3" s="1"/>
  <c r="V63" i="3"/>
  <c r="H74" i="3"/>
  <c r="S74" i="3" s="1"/>
  <c r="D127" i="3"/>
  <c r="D133" i="3" s="1"/>
  <c r="P54" i="3"/>
  <c r="AA54" i="3" s="1"/>
  <c r="E57" i="3"/>
  <c r="P57" i="3" s="1"/>
  <c r="I74" i="3"/>
  <c r="T74" i="3" s="1"/>
  <c r="M54" i="3"/>
  <c r="Y54" i="3" s="1"/>
  <c r="B57" i="3"/>
  <c r="M57" i="3" s="1"/>
  <c r="Q54" i="3"/>
  <c r="AB54" i="3" s="1"/>
  <c r="F57" i="3"/>
  <c r="Q57" i="3" s="1"/>
  <c r="V57" i="3"/>
  <c r="D57" i="3"/>
  <c r="O57" i="3" s="1"/>
  <c r="T54" i="3"/>
  <c r="AE54" i="3" s="1"/>
  <c r="I57" i="3"/>
  <c r="T57" i="3" s="1"/>
  <c r="G57" i="3"/>
  <c r="R57" i="3" s="1"/>
  <c r="U54" i="3"/>
  <c r="AF54" i="3" s="1"/>
  <c r="J57" i="3"/>
  <c r="U57" i="3" s="1"/>
  <c r="N54" i="3"/>
  <c r="C57" i="3"/>
  <c r="N57" i="3" s="1"/>
  <c r="H57" i="3"/>
  <c r="S57" i="3" s="1"/>
  <c r="D177" i="3"/>
  <c r="J127" i="3"/>
  <c r="J133" i="3" s="1"/>
  <c r="C81" i="3"/>
  <c r="I85" i="3"/>
  <c r="T85" i="3" s="1"/>
  <c r="C52" i="3"/>
  <c r="N52" i="3" s="1"/>
  <c r="T48" i="3"/>
  <c r="AE48" i="3" s="1"/>
  <c r="I52" i="3"/>
  <c r="T52" i="3" s="1"/>
  <c r="J52" i="3"/>
  <c r="U52" i="3" s="1"/>
  <c r="H52" i="3"/>
  <c r="S52" i="3" s="1"/>
  <c r="G52" i="3"/>
  <c r="R52" i="3" s="1"/>
  <c r="V52" i="3"/>
  <c r="F52" i="3"/>
  <c r="Q52" i="3" s="1"/>
  <c r="M48" i="3"/>
  <c r="Y48" i="3" s="1"/>
  <c r="B52" i="3"/>
  <c r="M52" i="3" s="1"/>
  <c r="D52" i="3"/>
  <c r="O52" i="3" s="1"/>
  <c r="E52" i="3"/>
  <c r="P52" i="3" s="1"/>
  <c r="H73" i="3"/>
  <c r="I127" i="3"/>
  <c r="I133" i="3" s="1"/>
  <c r="G73" i="3"/>
  <c r="R73" i="3" s="1"/>
  <c r="H85" i="3"/>
  <c r="S85" i="3" s="1"/>
  <c r="I14" i="3"/>
  <c r="T14" i="3" s="1"/>
  <c r="D23" i="3"/>
  <c r="O23" i="3" s="1"/>
  <c r="Z23" i="3" s="1"/>
  <c r="J177" i="3"/>
  <c r="J85" i="3"/>
  <c r="U85" i="3" s="1"/>
  <c r="G74" i="3"/>
  <c r="R74" i="3" s="1"/>
  <c r="E14" i="3"/>
  <c r="P14" i="3" s="1"/>
  <c r="G14" i="3"/>
  <c r="R14" i="3" s="1"/>
  <c r="C127" i="3"/>
  <c r="H23" i="3"/>
  <c r="S23" i="3" s="1"/>
  <c r="AD23" i="3" s="1"/>
  <c r="H177" i="3"/>
  <c r="G9" i="3"/>
  <c r="R9" i="3" s="1"/>
  <c r="B73" i="3"/>
  <c r="M73" i="3" s="1"/>
  <c r="T39" i="3"/>
  <c r="I44" i="3"/>
  <c r="T44" i="3" s="1"/>
  <c r="G38" i="3"/>
  <c r="R38" i="3" s="1"/>
  <c r="I23" i="3"/>
  <c r="T23" i="3" s="1"/>
  <c r="AE23" i="3" s="1"/>
  <c r="U39" i="3"/>
  <c r="J44" i="3"/>
  <c r="U44" i="3" s="1"/>
  <c r="H38" i="3"/>
  <c r="S38" i="3" s="1"/>
  <c r="V44" i="3"/>
  <c r="R37" i="3"/>
  <c r="N39" i="3"/>
  <c r="C44" i="3"/>
  <c r="N44" i="3" s="1"/>
  <c r="I38" i="3"/>
  <c r="T38" i="3" s="1"/>
  <c r="O39" i="3"/>
  <c r="D44" i="3"/>
  <c r="O44" i="3" s="1"/>
  <c r="B38" i="3"/>
  <c r="M38" i="3" s="1"/>
  <c r="J38" i="3"/>
  <c r="U38" i="3" s="1"/>
  <c r="M39" i="3"/>
  <c r="B44" i="3"/>
  <c r="M44" i="3" s="1"/>
  <c r="P39" i="3"/>
  <c r="E44" i="3"/>
  <c r="P44" i="3" s="1"/>
  <c r="C38" i="3"/>
  <c r="N38" i="3" s="1"/>
  <c r="F38" i="3"/>
  <c r="Q38" i="3" s="1"/>
  <c r="Q39" i="3"/>
  <c r="F44" i="3"/>
  <c r="Q44" i="3" s="1"/>
  <c r="D38" i="3"/>
  <c r="O38" i="3" s="1"/>
  <c r="R39" i="3"/>
  <c r="G44" i="3"/>
  <c r="R44" i="3" s="1"/>
  <c r="K133" i="3"/>
  <c r="K140" i="3" s="1"/>
  <c r="V140" i="3" s="1"/>
  <c r="E38" i="3"/>
  <c r="P38" i="3" s="1"/>
  <c r="V38" i="3"/>
  <c r="S34" i="3"/>
  <c r="S39" i="3"/>
  <c r="H44" i="3"/>
  <c r="S44" i="3" s="1"/>
  <c r="T34" i="3"/>
  <c r="J81" i="3"/>
  <c r="U81" i="3" s="1"/>
  <c r="D9" i="3"/>
  <c r="O9" i="3" s="1"/>
  <c r="D85" i="3"/>
  <c r="O85" i="3" s="1"/>
  <c r="E9" i="3"/>
  <c r="P9" i="3" s="1"/>
  <c r="B23" i="3"/>
  <c r="M23" i="3" s="1"/>
  <c r="Y23" i="3" s="1"/>
  <c r="G23" i="3"/>
  <c r="R23" i="3" s="1"/>
  <c r="AC23" i="3" s="1"/>
  <c r="D14" i="3"/>
  <c r="O14" i="3" s="1"/>
  <c r="E85" i="3"/>
  <c r="P85" i="3" s="1"/>
  <c r="V9" i="3"/>
  <c r="G150" i="3"/>
  <c r="R150" i="3" s="1"/>
  <c r="F14" i="3"/>
  <c r="Q14" i="3" s="1"/>
  <c r="F9" i="3"/>
  <c r="Q9" i="3" s="1"/>
  <c r="I9" i="3"/>
  <c r="T9" i="3" s="1"/>
  <c r="F23" i="3"/>
  <c r="Q23" i="3" s="1"/>
  <c r="AB23" i="3" s="1"/>
  <c r="H81" i="3"/>
  <c r="S81" i="3" s="1"/>
  <c r="V73" i="3"/>
  <c r="H9" i="3"/>
  <c r="S9" i="3" s="1"/>
  <c r="I81" i="3"/>
  <c r="T81" i="3" s="1"/>
  <c r="E74" i="3"/>
  <c r="P74" i="3" s="1"/>
  <c r="J73" i="3"/>
  <c r="C85" i="3"/>
  <c r="N85" i="3" s="1"/>
  <c r="H14" i="3"/>
  <c r="S14" i="3" s="1"/>
  <c r="J23" i="3"/>
  <c r="U23" i="3" s="1"/>
  <c r="AF23" i="3" s="1"/>
  <c r="D81" i="3"/>
  <c r="O81" i="3" s="1"/>
  <c r="J150" i="3"/>
  <c r="U150" i="3" s="1"/>
  <c r="Q71" i="3"/>
  <c r="AB71" i="3" s="1"/>
  <c r="P82" i="3"/>
  <c r="E81" i="3"/>
  <c r="P81" i="3" s="1"/>
  <c r="M46" i="3"/>
  <c r="Y46" i="3" s="1"/>
  <c r="C74" i="3"/>
  <c r="N74" i="3" s="1"/>
  <c r="N75" i="3"/>
  <c r="Q86" i="3"/>
  <c r="F85" i="3"/>
  <c r="Q85" i="3" s="1"/>
  <c r="I73" i="3"/>
  <c r="T71" i="3"/>
  <c r="AE71" i="3" s="1"/>
  <c r="I150" i="3"/>
  <c r="T150" i="3" s="1"/>
  <c r="V74" i="3"/>
  <c r="V75" i="3"/>
  <c r="V24" i="3"/>
  <c r="V23" i="3"/>
  <c r="AG23" i="3" s="1"/>
  <c r="V85" i="3"/>
  <c r="V10" i="3"/>
  <c r="P24" i="3"/>
  <c r="R71" i="3"/>
  <c r="AC71" i="3" s="1"/>
  <c r="R95" i="3"/>
  <c r="D74" i="3"/>
  <c r="O74" i="3" s="1"/>
  <c r="F81" i="3"/>
  <c r="Q81" i="3" s="1"/>
  <c r="S71" i="3"/>
  <c r="AD71" i="3" s="1"/>
  <c r="N82" i="3"/>
  <c r="V86" i="3"/>
  <c r="AG54" i="3"/>
  <c r="M71" i="3"/>
  <c r="Y71" i="3" s="1"/>
  <c r="U71" i="3"/>
  <c r="AF71" i="3" s="1"/>
  <c r="C9" i="3"/>
  <c r="N9" i="3" s="1"/>
  <c r="P59" i="3"/>
  <c r="AA59" i="3" s="1"/>
  <c r="N71" i="3"/>
  <c r="V71" i="3"/>
  <c r="AG71" i="3" s="1"/>
  <c r="M24" i="3"/>
  <c r="O71" i="3"/>
  <c r="Z71" i="3" s="1"/>
  <c r="M72" i="3"/>
  <c r="S73" i="3"/>
  <c r="N24" i="3"/>
  <c r="P46" i="3"/>
  <c r="AA46" i="3" s="1"/>
  <c r="P71" i="3"/>
  <c r="AA71" i="3" s="1"/>
  <c r="R82" i="3"/>
  <c r="R86" i="3"/>
  <c r="AC46" i="3"/>
  <c r="F66" i="3"/>
  <c r="Q66" i="3" s="1"/>
  <c r="G66" i="3"/>
  <c r="R66" i="3" s="1"/>
  <c r="E66" i="3"/>
  <c r="P66" i="3" s="1"/>
  <c r="F74" i="3"/>
  <c r="AA48" i="3"/>
  <c r="H66" i="3"/>
  <c r="S66" i="3" s="1"/>
  <c r="V14" i="3"/>
  <c r="I66" i="3"/>
  <c r="T66" i="3" s="1"/>
  <c r="B9" i="3"/>
  <c r="M9" i="3" s="1"/>
  <c r="J66" i="3"/>
  <c r="U66" i="3" s="1"/>
  <c r="E73" i="3"/>
  <c r="E150" i="3"/>
  <c r="P150" i="3" s="1"/>
  <c r="B74" i="3"/>
  <c r="M74" i="3" s="1"/>
  <c r="C66" i="3"/>
  <c r="N66" i="3" s="1"/>
  <c r="C14" i="3"/>
  <c r="N14" i="3" s="1"/>
  <c r="D66" i="3"/>
  <c r="O66" i="3" s="1"/>
  <c r="V81" i="3"/>
  <c r="V66" i="3"/>
  <c r="D65" i="3"/>
  <c r="C65" i="3"/>
  <c r="N65" i="3" s="1"/>
  <c r="E65" i="3"/>
  <c r="P65" i="3" s="1"/>
  <c r="AA65" i="3" s="1"/>
  <c r="F65" i="3"/>
  <c r="G65" i="3"/>
  <c r="H65" i="3"/>
  <c r="S65" i="3" s="1"/>
  <c r="AD65" i="3" s="1"/>
  <c r="I65" i="3"/>
  <c r="T65" i="3" s="1"/>
  <c r="AE65" i="3" s="1"/>
  <c r="J19" i="3"/>
  <c r="J65" i="3"/>
  <c r="B65" i="3"/>
  <c r="M65" i="3" s="1"/>
  <c r="Y65" i="3" s="1"/>
  <c r="AA23" i="3"/>
  <c r="B85" i="3"/>
  <c r="M85" i="3" s="1"/>
  <c r="B127" i="3"/>
  <c r="B133" i="3" s="1"/>
  <c r="B81" i="3"/>
  <c r="M81" i="3" s="1"/>
  <c r="F150" i="3"/>
  <c r="Q150" i="3" s="1"/>
  <c r="B66" i="3"/>
  <c r="M66" i="3" s="1"/>
  <c r="B14" i="3"/>
  <c r="M14" i="3" s="1"/>
  <c r="AG48" i="3"/>
  <c r="I138" i="3"/>
  <c r="T138" i="3" s="1"/>
  <c r="I140" i="3"/>
  <c r="T140" i="3" s="1"/>
  <c r="AF48" i="3"/>
  <c r="D150" i="3"/>
  <c r="O150" i="3" s="1"/>
  <c r="B177" i="3"/>
  <c r="K177" i="3"/>
  <c r="K150" i="3"/>
  <c r="V150" i="3" s="1"/>
  <c r="AB48" i="3"/>
  <c r="H150" i="3"/>
  <c r="S150" i="3" s="1"/>
  <c r="I177" i="3"/>
  <c r="J140" i="3"/>
  <c r="U140" i="3" s="1"/>
  <c r="H138" i="3"/>
  <c r="S138" i="3" s="1"/>
  <c r="E177" i="3"/>
  <c r="F177" i="3"/>
  <c r="R88" i="4" l="1"/>
  <c r="AC88" i="4" s="1"/>
  <c r="O88" i="4"/>
  <c r="Z88" i="4" s="1"/>
  <c r="I152" i="4"/>
  <c r="T152" i="4" s="1"/>
  <c r="AE152" i="4" s="1"/>
  <c r="T91" i="4"/>
  <c r="N178" i="4"/>
  <c r="M178" i="4"/>
  <c r="Q88" i="4"/>
  <c r="AB88" i="4" s="1"/>
  <c r="P88" i="4"/>
  <c r="AA88" i="4" s="1"/>
  <c r="U88" i="4"/>
  <c r="AF88" i="4" s="1"/>
  <c r="V88" i="4"/>
  <c r="AG88" i="4" s="1"/>
  <c r="M88" i="4"/>
  <c r="Y88" i="4" s="1"/>
  <c r="S88" i="4"/>
  <c r="AD88" i="4" s="1"/>
  <c r="N88" i="4"/>
  <c r="N201" i="3"/>
  <c r="N206" i="3" s="1"/>
  <c r="M201" i="3"/>
  <c r="M206" i="3" s="1"/>
  <c r="N81" i="3"/>
  <c r="C179" i="3"/>
  <c r="M177" i="3"/>
  <c r="N177" i="3"/>
  <c r="H80" i="3"/>
  <c r="S80" i="3" s="1"/>
  <c r="E19" i="3"/>
  <c r="E29" i="3" s="1"/>
  <c r="P29" i="3" s="1"/>
  <c r="J179" i="3"/>
  <c r="G80" i="3"/>
  <c r="G19" i="3"/>
  <c r="R19" i="3" s="1"/>
  <c r="AC19" i="3" s="1"/>
  <c r="I19" i="3"/>
  <c r="I29" i="3" s="1"/>
  <c r="T29" i="3" s="1"/>
  <c r="H19" i="3"/>
  <c r="H29" i="3" s="1"/>
  <c r="S29" i="3" s="1"/>
  <c r="D19" i="3"/>
  <c r="O19" i="3" s="1"/>
  <c r="C19" i="3"/>
  <c r="C21" i="3" s="1"/>
  <c r="N21" i="3" s="1"/>
  <c r="V19" i="3"/>
  <c r="AG19" i="3" s="1"/>
  <c r="C80" i="3"/>
  <c r="N80" i="3" s="1"/>
  <c r="V80" i="3"/>
  <c r="I179" i="3"/>
  <c r="F19" i="3"/>
  <c r="F29" i="3" s="1"/>
  <c r="Q29" i="3" s="1"/>
  <c r="D179" i="3"/>
  <c r="B80" i="3"/>
  <c r="B84" i="3" s="1"/>
  <c r="J80" i="3"/>
  <c r="U73" i="3"/>
  <c r="F80" i="3"/>
  <c r="Q80" i="3" s="1"/>
  <c r="Q74" i="3"/>
  <c r="U65" i="3"/>
  <c r="AF65" i="3" s="1"/>
  <c r="Q65" i="3"/>
  <c r="AB65" i="3" s="1"/>
  <c r="J29" i="3"/>
  <c r="U29" i="3" s="1"/>
  <c r="U19" i="3"/>
  <c r="R65" i="3"/>
  <c r="AC65" i="3" s="1"/>
  <c r="V65" i="3"/>
  <c r="AG65" i="3" s="1"/>
  <c r="D80" i="3"/>
  <c r="E80" i="3"/>
  <c r="P73" i="3"/>
  <c r="F179" i="3"/>
  <c r="O65" i="3"/>
  <c r="Z65" i="3" s="1"/>
  <c r="I80" i="3"/>
  <c r="T73" i="3"/>
  <c r="J21" i="3"/>
  <c r="U21" i="3" s="1"/>
  <c r="B19" i="3"/>
  <c r="M19" i="3" s="1"/>
  <c r="G179" i="3"/>
  <c r="B179" i="3"/>
  <c r="H179" i="3"/>
  <c r="E179" i="3"/>
  <c r="K179" i="3"/>
  <c r="C152" i="4" l="1"/>
  <c r="N152" i="4" s="1"/>
  <c r="N91" i="4"/>
  <c r="J152" i="4"/>
  <c r="U152" i="4" s="1"/>
  <c r="AF152" i="4" s="1"/>
  <c r="U91" i="4"/>
  <c r="S91" i="4"/>
  <c r="H152" i="4"/>
  <c r="S152" i="4" s="1"/>
  <c r="AD152" i="4" s="1"/>
  <c r="P91" i="4"/>
  <c r="E152" i="4"/>
  <c r="P152" i="4" s="1"/>
  <c r="AA152" i="4" s="1"/>
  <c r="D152" i="4"/>
  <c r="O152" i="4" s="1"/>
  <c r="Z152" i="4" s="1"/>
  <c r="O91" i="4"/>
  <c r="I180" i="4"/>
  <c r="T93" i="4"/>
  <c r="AE93" i="4" s="1"/>
  <c r="B152" i="4"/>
  <c r="M152" i="4" s="1"/>
  <c r="Y152" i="4" s="1"/>
  <c r="M91" i="4"/>
  <c r="Q91" i="4"/>
  <c r="F152" i="4"/>
  <c r="Q152" i="4" s="1"/>
  <c r="AB152" i="4" s="1"/>
  <c r="K152" i="4"/>
  <c r="V152" i="4" s="1"/>
  <c r="AG152" i="4" s="1"/>
  <c r="V91" i="4"/>
  <c r="R91" i="4"/>
  <c r="G152" i="4"/>
  <c r="R152" i="4" s="1"/>
  <c r="AC152" i="4" s="1"/>
  <c r="N179" i="3"/>
  <c r="M179" i="3"/>
  <c r="I21" i="3"/>
  <c r="T21" i="3" s="1"/>
  <c r="H96" i="3"/>
  <c r="S96" i="3" s="1"/>
  <c r="H84" i="3"/>
  <c r="H88" i="3" s="1"/>
  <c r="H91" i="3" s="1"/>
  <c r="E21" i="3"/>
  <c r="P21" i="3" s="1"/>
  <c r="P19" i="3"/>
  <c r="AA19" i="3" s="1"/>
  <c r="T19" i="3"/>
  <c r="AE19" i="3" s="1"/>
  <c r="G21" i="3"/>
  <c r="R21" i="3" s="1"/>
  <c r="G29" i="3"/>
  <c r="R29" i="3" s="1"/>
  <c r="AC29" i="3" s="1"/>
  <c r="F21" i="3"/>
  <c r="Q21" i="3" s="1"/>
  <c r="V84" i="3"/>
  <c r="D29" i="3"/>
  <c r="O29" i="3" s="1"/>
  <c r="D21" i="3"/>
  <c r="O21" i="3" s="1"/>
  <c r="S84" i="3"/>
  <c r="V21" i="3"/>
  <c r="R80" i="3"/>
  <c r="G84" i="3"/>
  <c r="G96" i="3"/>
  <c r="R96" i="3" s="1"/>
  <c r="C84" i="3"/>
  <c r="N84" i="3" s="1"/>
  <c r="C96" i="3"/>
  <c r="N19" i="3"/>
  <c r="B96" i="3"/>
  <c r="M96" i="3" s="1"/>
  <c r="Q19" i="3"/>
  <c r="AB19" i="3" s="1"/>
  <c r="C29" i="3"/>
  <c r="H21" i="3"/>
  <c r="S21" i="3" s="1"/>
  <c r="V29" i="3"/>
  <c r="AG29" i="3" s="1"/>
  <c r="S19" i="3"/>
  <c r="AD19" i="3" s="1"/>
  <c r="V96" i="3"/>
  <c r="F96" i="3"/>
  <c r="Q96" i="3" s="1"/>
  <c r="AB96" i="3" s="1"/>
  <c r="M80" i="3"/>
  <c r="U80" i="3"/>
  <c r="J96" i="3"/>
  <c r="U96" i="3" s="1"/>
  <c r="AF96" i="3" s="1"/>
  <c r="J84" i="3"/>
  <c r="F84" i="3"/>
  <c r="Q84" i="3" s="1"/>
  <c r="T80" i="3"/>
  <c r="I96" i="3"/>
  <c r="T96" i="3" s="1"/>
  <c r="AE96" i="3" s="1"/>
  <c r="I84" i="3"/>
  <c r="E96" i="3"/>
  <c r="P96" i="3" s="1"/>
  <c r="P80" i="3"/>
  <c r="O80" i="3"/>
  <c r="D96" i="3"/>
  <c r="O96" i="3" s="1"/>
  <c r="D84" i="3"/>
  <c r="E84" i="3"/>
  <c r="B88" i="3"/>
  <c r="M84" i="3"/>
  <c r="AF29" i="3"/>
  <c r="AF19" i="3"/>
  <c r="B29" i="3"/>
  <c r="B21" i="3"/>
  <c r="M21" i="3" s="1"/>
  <c r="Y19" i="3"/>
  <c r="J154" i="3"/>
  <c r="U154" i="3" s="1"/>
  <c r="H154" i="3"/>
  <c r="S154" i="3" s="1"/>
  <c r="AD29" i="3"/>
  <c r="Z19" i="3"/>
  <c r="E154" i="3"/>
  <c r="P154" i="3" s="1"/>
  <c r="AA29" i="3"/>
  <c r="F154" i="3"/>
  <c r="Q154" i="3" s="1"/>
  <c r="AB29" i="3"/>
  <c r="I154" i="3"/>
  <c r="T154" i="3" s="1"/>
  <c r="AE29" i="3"/>
  <c r="O93" i="4" l="1"/>
  <c r="Z93" i="4" s="1"/>
  <c r="D180" i="4"/>
  <c r="J180" i="4"/>
  <c r="U93" i="4"/>
  <c r="AF93" i="4" s="1"/>
  <c r="H180" i="4"/>
  <c r="S93" i="4"/>
  <c r="AD93" i="4" s="1"/>
  <c r="V93" i="4"/>
  <c r="AG93" i="4" s="1"/>
  <c r="K180" i="4"/>
  <c r="P93" i="4"/>
  <c r="AA93" i="4" s="1"/>
  <c r="E180" i="4"/>
  <c r="N93" i="4"/>
  <c r="C180" i="4"/>
  <c r="Q93" i="4"/>
  <c r="AB93" i="4" s="1"/>
  <c r="F180" i="4"/>
  <c r="G180" i="4"/>
  <c r="R93" i="4"/>
  <c r="AC93" i="4" s="1"/>
  <c r="B180" i="4"/>
  <c r="M93" i="4"/>
  <c r="Y93" i="4" s="1"/>
  <c r="S88" i="3"/>
  <c r="N96" i="3"/>
  <c r="C178" i="3"/>
  <c r="C151" i="3"/>
  <c r="N151" i="3" s="1"/>
  <c r="N29" i="3"/>
  <c r="C154" i="3"/>
  <c r="N154" i="3" s="1"/>
  <c r="C153" i="3"/>
  <c r="N153" i="3" s="1"/>
  <c r="G154" i="3"/>
  <c r="R154" i="3" s="1"/>
  <c r="G153" i="3"/>
  <c r="R153" i="3" s="1"/>
  <c r="AC153" i="3" s="1"/>
  <c r="AC154" i="3" s="1"/>
  <c r="V88" i="3"/>
  <c r="C88" i="3"/>
  <c r="N88" i="3" s="1"/>
  <c r="F153" i="3"/>
  <c r="Q153" i="3" s="1"/>
  <c r="AB153" i="3" s="1"/>
  <c r="AB154" i="3" s="1"/>
  <c r="G88" i="3"/>
  <c r="R84" i="3"/>
  <c r="F178" i="3"/>
  <c r="F88" i="3"/>
  <c r="F91" i="3" s="1"/>
  <c r="F151" i="3"/>
  <c r="Q151" i="3" s="1"/>
  <c r="AB151" i="3" s="1"/>
  <c r="K153" i="3"/>
  <c r="V153" i="3" s="1"/>
  <c r="AG153" i="3" s="1"/>
  <c r="AG154" i="3" s="1"/>
  <c r="K154" i="3"/>
  <c r="V154" i="3" s="1"/>
  <c r="J178" i="3"/>
  <c r="J151" i="3"/>
  <c r="U151" i="3" s="1"/>
  <c r="AF151" i="3" s="1"/>
  <c r="I151" i="3"/>
  <c r="T151" i="3" s="1"/>
  <c r="AE151" i="3" s="1"/>
  <c r="I178" i="3"/>
  <c r="I153" i="3"/>
  <c r="T153" i="3" s="1"/>
  <c r="AE153" i="3" s="1"/>
  <c r="AE154" i="3" s="1"/>
  <c r="J88" i="3"/>
  <c r="U84" i="3"/>
  <c r="D88" i="3"/>
  <c r="O84" i="3"/>
  <c r="B91" i="3"/>
  <c r="M88" i="3"/>
  <c r="E153" i="3"/>
  <c r="I88" i="3"/>
  <c r="T84" i="3"/>
  <c r="M29" i="3"/>
  <c r="Y29" i="3" s="1"/>
  <c r="H93" i="3"/>
  <c r="S93" i="3" s="1"/>
  <c r="S91" i="3"/>
  <c r="E88" i="3"/>
  <c r="P84" i="3"/>
  <c r="B153" i="3"/>
  <c r="M153" i="3" s="1"/>
  <c r="Y153" i="3" s="1"/>
  <c r="Y154" i="3" s="1"/>
  <c r="M154" i="3"/>
  <c r="V91" i="3"/>
  <c r="J153" i="3"/>
  <c r="H178" i="3"/>
  <c r="AD96" i="3"/>
  <c r="H151" i="3"/>
  <c r="G151" i="3"/>
  <c r="AC96" i="3"/>
  <c r="G178" i="3"/>
  <c r="D151" i="3"/>
  <c r="Z96" i="3"/>
  <c r="D178" i="3"/>
  <c r="D153" i="3"/>
  <c r="D154" i="3"/>
  <c r="O154" i="3" s="1"/>
  <c r="Z29" i="3"/>
  <c r="H153" i="3"/>
  <c r="E178" i="3"/>
  <c r="E151" i="3"/>
  <c r="AA96" i="3"/>
  <c r="B151" i="3"/>
  <c r="M151" i="3" s="1"/>
  <c r="Y151" i="3" s="1"/>
  <c r="Y96" i="3"/>
  <c r="B178" i="3"/>
  <c r="K151" i="3"/>
  <c r="AG96" i="3"/>
  <c r="K178" i="3"/>
  <c r="N180" i="4" l="1"/>
  <c r="N182" i="4" s="1"/>
  <c r="M180" i="4"/>
  <c r="M182" i="4" s="1"/>
  <c r="N178" i="3"/>
  <c r="M178" i="3"/>
  <c r="C91" i="3"/>
  <c r="Q88" i="3"/>
  <c r="AB88" i="3" s="1"/>
  <c r="G91" i="3"/>
  <c r="R88" i="3"/>
  <c r="AC88" i="3" s="1"/>
  <c r="J91" i="3"/>
  <c r="J152" i="3" s="1"/>
  <c r="U88" i="3"/>
  <c r="AF88" i="3" s="1"/>
  <c r="S153" i="3"/>
  <c r="AD153" i="3" s="1"/>
  <c r="AD154" i="3" s="1"/>
  <c r="V151" i="3"/>
  <c r="AG151" i="3" s="1"/>
  <c r="U153" i="3"/>
  <c r="AF153" i="3" s="1"/>
  <c r="AF154" i="3" s="1"/>
  <c r="R151" i="3"/>
  <c r="AC151" i="3" s="1"/>
  <c r="O151" i="3"/>
  <c r="Z151" i="3" s="1"/>
  <c r="B93" i="3"/>
  <c r="M93" i="3" s="1"/>
  <c r="M91" i="3"/>
  <c r="O153" i="3"/>
  <c r="Z153" i="3" s="1"/>
  <c r="Z154" i="3" s="1"/>
  <c r="S151" i="3"/>
  <c r="AD151" i="3" s="1"/>
  <c r="E91" i="3"/>
  <c r="P88" i="3"/>
  <c r="AA88" i="3" s="1"/>
  <c r="F93" i="3"/>
  <c r="Q93" i="3" s="1"/>
  <c r="Q91" i="3"/>
  <c r="I91" i="3"/>
  <c r="T88" i="3"/>
  <c r="AE88" i="3" s="1"/>
  <c r="P151" i="3"/>
  <c r="AA151" i="3" s="1"/>
  <c r="P153" i="3"/>
  <c r="AA153" i="3" s="1"/>
  <c r="AA154" i="3" s="1"/>
  <c r="D91" i="3"/>
  <c r="O88" i="3"/>
  <c r="Z88" i="3" s="1"/>
  <c r="V93" i="3"/>
  <c r="AG88" i="3"/>
  <c r="AD88" i="3"/>
  <c r="F152" i="3"/>
  <c r="Y88" i="3"/>
  <c r="C93" i="3" l="1"/>
  <c r="C152" i="3"/>
  <c r="N152" i="3" s="1"/>
  <c r="N91" i="3"/>
  <c r="G93" i="3"/>
  <c r="R93" i="3" s="1"/>
  <c r="R91" i="3"/>
  <c r="U91" i="3"/>
  <c r="J93" i="3"/>
  <c r="U93" i="3" s="1"/>
  <c r="AF93" i="3" s="1"/>
  <c r="Q152" i="3"/>
  <c r="AB152" i="3" s="1"/>
  <c r="E93" i="3"/>
  <c r="P93" i="3" s="1"/>
  <c r="P91" i="3"/>
  <c r="I93" i="3"/>
  <c r="T93" i="3" s="1"/>
  <c r="AE93" i="3" s="1"/>
  <c r="T91" i="3"/>
  <c r="D93" i="3"/>
  <c r="O93" i="3" s="1"/>
  <c r="O91" i="3"/>
  <c r="I152" i="3"/>
  <c r="U152" i="3"/>
  <c r="AF152" i="3" s="1"/>
  <c r="H152" i="3"/>
  <c r="G152" i="3"/>
  <c r="K152" i="3"/>
  <c r="D152" i="3"/>
  <c r="E152" i="3"/>
  <c r="M152" i="3"/>
  <c r="Y152" i="3" s="1"/>
  <c r="F180" i="3"/>
  <c r="AB93" i="3"/>
  <c r="N93" i="3" l="1"/>
  <c r="C180" i="3"/>
  <c r="J180" i="3"/>
  <c r="I180" i="3"/>
  <c r="P152" i="3"/>
  <c r="AA152" i="3" s="1"/>
  <c r="O152" i="3"/>
  <c r="Z152" i="3" s="1"/>
  <c r="V152" i="3"/>
  <c r="AG152" i="3" s="1"/>
  <c r="R152" i="3"/>
  <c r="AC152" i="3" s="1"/>
  <c r="S152" i="3"/>
  <c r="AD152" i="3" s="1"/>
  <c r="T152" i="3"/>
  <c r="AE152" i="3" s="1"/>
  <c r="K180" i="3"/>
  <c r="AG93" i="3"/>
  <c r="E180" i="3"/>
  <c r="AA93" i="3"/>
  <c r="G180" i="3"/>
  <c r="AC93" i="3"/>
  <c r="D180" i="3"/>
  <c r="Z93" i="3"/>
  <c r="AD93" i="3"/>
  <c r="H180" i="3"/>
  <c r="B180" i="3"/>
  <c r="Y93" i="3"/>
  <c r="N180" i="3" l="1"/>
  <c r="N182" i="3" s="1"/>
  <c r="M180" i="3"/>
  <c r="M182" i="3" s="1"/>
</calcChain>
</file>

<file path=xl/comments1.xml><?xml version="1.0" encoding="utf-8"?>
<comments xmlns="http://schemas.openxmlformats.org/spreadsheetml/2006/main">
  <authors>
    <author>Zenon Farias Braga Filho</author>
  </authors>
  <commentList>
    <comment ref="A29" authorId="0" shapeId="0">
      <text>
        <r>
          <rPr>
            <b/>
            <sz val="9"/>
            <color indexed="81"/>
            <rFont val="Segoe UI"/>
            <family val="2"/>
          </rPr>
          <t>A dívida líquida representa a diferença entre o endividamento total e as disponibilidades.    As despesas pagas antecipadamente deveriam entrar no cálculo se já não foram deduzidas do endividamento total.   Na dúvida, considerou-se neste caso que o valor das despesas pagas já foram deduzidas do endividamento total e desta forma apenas as contas de caixa e aplicações financeiras foram consideradas como subtraendos.</t>
        </r>
      </text>
    </comment>
    <comment ref="A130" authorId="0" shapeId="0">
      <text>
        <r>
          <rPr>
            <b/>
            <sz val="9"/>
            <color indexed="81"/>
            <rFont val="Segoe UI"/>
            <family val="2"/>
          </rPr>
          <t>A companhia classifica dividendos/juros recebidos e juros pagos como fluxo de caixa das atividades de investimentos e fluxo de caixa das atividades de financiamento, respectivamente.</t>
        </r>
      </text>
    </comment>
    <comment ref="A151" authorId="0" shapeId="0">
      <text>
        <r>
          <rPr>
            <b/>
            <sz val="9"/>
            <color indexed="81"/>
            <rFont val="Segoe UI"/>
            <family val="2"/>
          </rPr>
          <t>EBITDA / Receita Líquida</t>
        </r>
      </text>
    </comment>
    <comment ref="A152" authorId="0" shapeId="0">
      <text>
        <r>
          <rPr>
            <b/>
            <sz val="9"/>
            <color indexed="81"/>
            <rFont val="Segoe UI"/>
            <family val="2"/>
          </rPr>
          <t>= Lucro consolidado líquido / Receita Líquida</t>
        </r>
      </text>
    </comment>
    <comment ref="A155" authorId="0" shapeId="0">
      <text>
        <r>
          <rPr>
            <b/>
            <sz val="9"/>
            <color indexed="81"/>
            <rFont val="Segoe UI"/>
            <family val="2"/>
          </rPr>
          <t>= Lucro Bruto / Receita Líquida</t>
        </r>
      </text>
    </comment>
    <comment ref="B202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Nos DF's de 2013 o valor informado da ROL de 2012 foi de R$ 5.269.424 mil.</t>
        </r>
      </text>
    </comment>
    <comment ref="C202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Nos DF's de 2014 o valor informado da ROL de 2013 foi de R$ 5.891.672 mil.</t>
        </r>
      </text>
    </comment>
    <comment ref="B204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Na DF de 2012 não foi informado o total por região, muito embora a soma dos itens discriminados por região correspondem ao total informado.</t>
        </r>
      </text>
    </comment>
    <comment ref="B209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Por falta de informações em relação à discriminação da ROL da Maxion Structural Components, optou-se por aplicar a mesma proporção da segmentação entre componentes estruturais para veículos leves e comerciais de 2013 em 2012.</t>
        </r>
      </text>
    </comment>
    <comment ref="B210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Zenon Farias Braga Filho:
Por falta de informações em relação à discriminação da ROL da Maxion Structural Components, optou-se por aplicar a mesma proporção da segmentação entre componentes estruturais para veículos leves e comerciais de 2013 em 2012.</t>
        </r>
      </text>
    </comment>
    <comment ref="B213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Na DF de 2012 não foi informado o total por região, muito embora a soma dos itens discriminados por região correspondem ao total informado.</t>
        </r>
      </text>
    </comment>
    <comment ref="B222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Na DF de 2012 não foi informado o total por região, muito embora a soma dos itens discriminados por região correspondem ao total informado.</t>
        </r>
      </text>
    </comment>
    <comment ref="B231" authorId="0" shapeId="0">
      <text>
        <r>
          <rPr>
            <b/>
            <sz val="9"/>
            <color indexed="81"/>
            <rFont val="Segoe UI"/>
            <family val="2"/>
          </rPr>
          <t>Zenon Farias Braga Filho:</t>
        </r>
        <r>
          <rPr>
            <sz val="9"/>
            <color indexed="81"/>
            <rFont val="Segoe UI"/>
            <family val="2"/>
          </rPr>
          <t xml:space="preserve">
Na DF de 2012 não foi informado o total por região, muito embora a soma dos itens discriminados por região correspondem ao total informado.</t>
        </r>
      </text>
    </comment>
    <comment ref="A329" authorId="0" shapeId="0">
      <text>
        <r>
          <rPr>
            <b/>
            <sz val="9"/>
            <color indexed="81"/>
            <rFont val="Segoe UI"/>
            <charset val="1"/>
          </rPr>
          <t>Ativo Circulante / Passivo Circulante</t>
        </r>
      </text>
    </comment>
    <comment ref="A330" authorId="0" shapeId="0">
      <text>
        <r>
          <rPr>
            <b/>
            <sz val="9"/>
            <color indexed="81"/>
            <rFont val="Segoe UI"/>
            <family val="2"/>
          </rPr>
          <t>(Ativo Circulante - Estoques)  / Passivo Circulante</t>
        </r>
      </text>
    </comment>
    <comment ref="A331" authorId="0" shapeId="0">
      <text>
        <r>
          <rPr>
            <b/>
            <sz val="9"/>
            <color indexed="81"/>
            <rFont val="Segoe UI"/>
            <family val="2"/>
          </rPr>
          <t>Disponibilidades / Passivo Circulante</t>
        </r>
      </text>
    </comment>
  </commentList>
</comments>
</file>

<file path=xl/comments2.xml><?xml version="1.0" encoding="utf-8"?>
<comments xmlns="http://schemas.openxmlformats.org/spreadsheetml/2006/main">
  <authors>
    <author>Zenon Farias Braga Filho</author>
  </authors>
  <commentList>
    <comment ref="A12" authorId="0" shapeId="0">
      <text>
        <r>
          <rPr>
            <b/>
            <sz val="9"/>
            <color indexed="81"/>
            <rFont val="Segoe UI"/>
            <family val="2"/>
          </rPr>
          <t>Investimento: Ativo - Passivos não onerosos</t>
        </r>
      </text>
    </comment>
    <comment ref="A25" authorId="0" shapeId="0">
      <text>
        <r>
          <rPr>
            <b/>
            <sz val="9"/>
            <color indexed="81"/>
            <rFont val="Segoe UI"/>
            <charset val="1"/>
          </rPr>
          <t xml:space="preserve">ROE: (LL + Part acion min) / PL
LL: Lucro Líquido
Part Acion Min: Participação dos minoritários
PL: Patrimônio Líquido
Part Acion Min: Participação dos acionistas minoritários
</t>
        </r>
      </text>
    </comment>
    <comment ref="A26" authorId="0" shapeId="0">
      <text>
        <r>
          <rPr>
            <b/>
            <sz val="9"/>
            <color indexed="81"/>
            <rFont val="Segoe UI"/>
            <family val="2"/>
          </rPr>
          <t>ROA: (LL + Part acion min) / AT
LL: Lucro Líquido
Part Acion Min: Participação dos minoritários
AT: Ativo Total</t>
        </r>
      </text>
    </comment>
    <comment ref="A27" authorId="0" shapeId="0">
      <text>
        <r>
          <rPr>
            <b/>
            <sz val="9"/>
            <color indexed="81"/>
            <rFont val="Segoe UI"/>
            <family val="2"/>
          </rPr>
          <t>ROIC: NOPAT / Investimento</t>
        </r>
      </text>
    </comment>
  </commentList>
</comments>
</file>

<file path=xl/comments3.xml><?xml version="1.0" encoding="utf-8"?>
<comments xmlns="http://schemas.openxmlformats.org/spreadsheetml/2006/main">
  <authors>
    <author>Zenon Farias Braga Filho</author>
  </authors>
  <commentList>
    <comment ref="A12" authorId="0" shapeId="0">
      <text>
        <r>
          <rPr>
            <b/>
            <sz val="9"/>
            <color indexed="81"/>
            <rFont val="Segoe UI"/>
            <family val="2"/>
          </rPr>
          <t>Investimento: Ativo - Passivos não onerosos</t>
        </r>
      </text>
    </comment>
    <comment ref="A25" authorId="0" shapeId="0">
      <text>
        <r>
          <rPr>
            <b/>
            <sz val="9"/>
            <color indexed="81"/>
            <rFont val="Segoe UI"/>
            <charset val="1"/>
          </rPr>
          <t>PMR = 360 * Duplicatas a Receber / Vendas</t>
        </r>
      </text>
    </comment>
    <comment ref="A26" authorId="0" shapeId="0">
      <text>
        <r>
          <rPr>
            <b/>
            <sz val="9"/>
            <color indexed="81"/>
            <rFont val="Segoe UI"/>
            <family val="2"/>
          </rPr>
          <t>PME = 360 * EM / CMV</t>
        </r>
      </text>
    </comment>
    <comment ref="A27" authorId="0" shapeId="0">
      <text>
        <r>
          <rPr>
            <b/>
            <sz val="9"/>
            <color indexed="81"/>
            <rFont val="Segoe UI"/>
            <family val="2"/>
          </rPr>
          <t>PMP = 360 * Fornecedores / Compras</t>
        </r>
      </text>
    </comment>
    <comment ref="A28" authorId="0" shapeId="0">
      <text>
        <r>
          <rPr>
            <b/>
            <sz val="9"/>
            <color indexed="81"/>
            <rFont val="Segoe UI"/>
            <family val="2"/>
          </rPr>
          <t>Ciclo Financeiro: PME + PMR - PMP</t>
        </r>
      </text>
    </comment>
  </commentList>
</comments>
</file>

<file path=xl/comments4.xml><?xml version="1.0" encoding="utf-8"?>
<comments xmlns="http://schemas.openxmlformats.org/spreadsheetml/2006/main">
  <authors>
    <author>Zenon Farias Braga Filho</author>
  </authors>
  <commentList>
    <comment ref="A12" authorId="0" shapeId="0">
      <text>
        <r>
          <rPr>
            <b/>
            <sz val="9"/>
            <color indexed="81"/>
            <rFont val="Segoe UI"/>
            <family val="2"/>
          </rPr>
          <t>Investimento: Ativo - Passivos não onerosos</t>
        </r>
      </text>
    </comment>
    <comment ref="A31" authorId="0" shapeId="0">
      <text>
        <r>
          <rPr>
            <b/>
            <sz val="9"/>
            <color indexed="81"/>
            <rFont val="Segoe UI"/>
            <family val="2"/>
          </rPr>
          <t>Estrutura de Capital = Dívida Total Bruta / (Dívida Total Bruta + Patrimônio Líquido)</t>
        </r>
      </text>
    </comment>
    <comment ref="A32" authorId="0" shapeId="0">
      <text>
        <r>
          <rPr>
            <b/>
            <sz val="9"/>
            <color indexed="81"/>
            <rFont val="Segoe UI"/>
            <family val="2"/>
          </rPr>
          <t>Retorno sobre o Patrimônio Líquido = (Lucro Líquido + Participação acionária minoritários) / Patrimônio Líquido Consolidado</t>
        </r>
      </text>
    </comment>
    <comment ref="A33" authorId="0" shapeId="0">
      <text>
        <r>
          <rPr>
            <b/>
            <sz val="9"/>
            <color indexed="81"/>
            <rFont val="Segoe UI"/>
            <family val="2"/>
          </rPr>
          <t>Retorno sobre o Ativo Total = (Lucro Líquido + Participação minoritários) / Ativo Total</t>
        </r>
      </text>
    </comment>
    <comment ref="A34" authorId="0" shapeId="0">
      <text>
        <r>
          <rPr>
            <b/>
            <sz val="9"/>
            <color indexed="81"/>
            <rFont val="Segoe UI"/>
            <family val="2"/>
          </rPr>
          <t>Grau de Alavancagem Financeira = Retorno sobre o Patrimônio Líquido / Retorno sobre o Ativo Total</t>
        </r>
      </text>
    </comment>
  </commentList>
</comments>
</file>

<file path=xl/comments5.xml><?xml version="1.0" encoding="utf-8"?>
<comments xmlns="http://schemas.openxmlformats.org/spreadsheetml/2006/main">
  <authors>
    <author>Zenon Farias Braga Filho</author>
  </authors>
  <commentList>
    <comment ref="A29" authorId="0" shapeId="0">
      <text>
        <r>
          <rPr>
            <b/>
            <sz val="9"/>
            <color indexed="81"/>
            <rFont val="Segoe UI"/>
            <family val="2"/>
          </rPr>
          <t>A dívida líquida representa a diferença entre o endividamento total e as disponibilidades.    As despesas pagas antecipadamente deveriam entrar no cálculo se já não foram deduzidas do endividamento total.   Na dúvida, considerou-se neste caso que o valor das despesas pagas já foram deduzidas do endividamento total e desta forma apenas as contas de caixa e aplicações financeiras foram consideradas como subtraendos.</t>
        </r>
      </text>
    </comment>
    <comment ref="A130" authorId="0" shapeId="0">
      <text>
        <r>
          <rPr>
            <b/>
            <sz val="9"/>
            <color indexed="81"/>
            <rFont val="Segoe UI"/>
            <family val="2"/>
          </rPr>
          <t>A companhia classifica dividendos/juros recebidos e juros pagos como fluxo de caixa das atividades de investimentos e fluxo de caixa das atividades de financiamento, respectivamente.</t>
        </r>
      </text>
    </comment>
    <comment ref="A150" authorId="0" shapeId="0">
      <text>
        <r>
          <rPr>
            <b/>
            <sz val="9"/>
            <color indexed="81"/>
            <rFont val="Segoe UI"/>
            <family val="2"/>
          </rPr>
          <t>EBITDA / Receita Líquida</t>
        </r>
      </text>
    </comment>
    <comment ref="A151" authorId="0" shapeId="0">
      <text>
        <r>
          <rPr>
            <b/>
            <sz val="9"/>
            <color indexed="81"/>
            <rFont val="Segoe UI"/>
            <family val="2"/>
          </rPr>
          <t>EBITDA / Receita Líquida</t>
        </r>
      </text>
    </comment>
    <comment ref="A152" authorId="0" shapeId="0">
      <text>
        <r>
          <rPr>
            <b/>
            <sz val="9"/>
            <color indexed="81"/>
            <rFont val="Segoe UI"/>
            <family val="2"/>
          </rPr>
          <t>= Lucro consolidado líquido / Receita Líquida</t>
        </r>
      </text>
    </comment>
  </commentList>
</comments>
</file>

<file path=xl/sharedStrings.xml><?xml version="1.0" encoding="utf-8"?>
<sst xmlns="http://schemas.openxmlformats.org/spreadsheetml/2006/main" count="5560" uniqueCount="615">
  <si>
    <t>Consolidado</t>
  </si>
  <si>
    <t>DIVERSOS</t>
  </si>
  <si>
    <t/>
  </si>
  <si>
    <t xml:space="preserve"> Metodo Contabil</t>
  </si>
  <si>
    <t>IFRS</t>
  </si>
  <si>
    <t xml:space="preserve"> Link notas explicativas</t>
  </si>
  <si>
    <t>not copied</t>
  </si>
  <si>
    <t>ATIVO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</si>
  <si>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</si>
  <si>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</si>
  <si>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</si>
  <si>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</si>
  <si>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</si>
  <si>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</si>
  <si>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>-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</si>
  <si>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</si>
  <si>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</si>
  <si>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</si>
  <si>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</si>
  <si>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</si>
  <si>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</si>
  <si>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</si>
  <si>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</si>
  <si>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</si>
  <si>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</si>
  <si>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</si>
  <si>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</si>
  <si>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</si>
  <si>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</si>
  <si>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</si>
  <si>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</si>
  <si>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</si>
  <si>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</si>
  <si>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</si>
  <si>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</si>
  <si>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</si>
  <si>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</si>
  <si>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</si>
  <si>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</si>
  <si>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</si>
  <si>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</si>
  <si>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</si>
  <si>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</si>
  <si>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</si>
  <si>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</si>
  <si>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</si>
  <si>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</si>
  <si>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</si>
  <si>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</si>
  <si>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</si>
  <si>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</si>
  <si>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</si>
  <si>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</si>
  <si>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</si>
  <si>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</si>
  <si>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</si>
  <si>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</si>
  <si>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</si>
  <si>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</si>
  <si>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</si>
  <si>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</si>
  <si>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</si>
  <si>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</si>
  <si>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</si>
  <si>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</si>
  <si>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</si>
  <si>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</si>
  <si>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</si>
  <si>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</si>
  <si>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</si>
  <si>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>PASSIVO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</si>
  <si>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</si>
  <si>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</si>
  <si>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</si>
  <si>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</si>
  <si>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</si>
  <si>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</si>
  <si>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</si>
  <si>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</si>
  <si>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</si>
  <si>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</si>
  <si>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</si>
  <si>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</si>
  <si>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</si>
  <si>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</si>
  <si>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</si>
  <si>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</si>
  <si>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</si>
  <si>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</si>
  <si>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</si>
  <si>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</si>
  <si>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</si>
  <si>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</si>
  <si>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</si>
  <si>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</si>
  <si>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</si>
  <si>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</si>
  <si>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</si>
  <si>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</si>
  <si>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</si>
  <si>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</si>
  <si>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</si>
  <si>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</si>
  <si>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</si>
  <si>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</si>
  <si>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</si>
  <si>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</si>
  <si>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</si>
  <si>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</si>
  <si>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</si>
  <si>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</si>
  <si>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</si>
  <si>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</si>
  <si>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</si>
  <si>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</si>
  <si>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</si>
  <si>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</si>
  <si>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</si>
  <si>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</si>
  <si>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</si>
  <si>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</si>
  <si>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</si>
  <si>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</si>
  <si>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</si>
  <si>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</si>
  <si>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</si>
  <si>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</si>
  <si>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</si>
  <si>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</si>
  <si>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</si>
  <si>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</si>
  <si>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</si>
  <si>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</si>
  <si>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</si>
  <si>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</si>
  <si>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</si>
  <si>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</si>
  <si>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</si>
  <si>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</si>
  <si>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</si>
  <si>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</si>
  <si>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</si>
  <si>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</si>
  <si>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</si>
  <si>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</si>
  <si>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</si>
  <si>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</si>
  <si>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</si>
  <si>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</si>
  <si>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</si>
  <si>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</si>
  <si>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</si>
  <si>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</si>
  <si>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</si>
  <si>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</si>
  <si>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</si>
  <si>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</si>
  <si>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</si>
  <si>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</si>
  <si>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</si>
  <si>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</si>
  <si>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</si>
  <si>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</si>
  <si>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</si>
  <si>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</si>
  <si>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</si>
  <si>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</si>
  <si>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</si>
  <si>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</si>
  <si>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</si>
  <si>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</si>
  <si>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</si>
  <si>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</si>
  <si>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</si>
  <si>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DEM RESULT</t>
  </si>
  <si>
    <t xml:space="preserve"> Meses</t>
  </si>
  <si>
    <t>+Receita liquida operac</t>
  </si>
  <si>
    <t>-Custo Produtos Vendidos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</si>
  <si>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</si>
  <si>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</si>
  <si>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</si>
  <si>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</si>
  <si>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</si>
  <si>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</si>
  <si>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</si>
  <si>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</si>
  <si>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</si>
  <si>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</si>
  <si>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</si>
  <si>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</si>
  <si>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</si>
  <si>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</si>
  <si>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</si>
  <si>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</si>
  <si>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</si>
  <si>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</si>
  <si>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</si>
  <si>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</si>
  <si>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</si>
  <si>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</si>
  <si>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</si>
  <si>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FLX CAIXA</t>
  </si>
  <si>
    <t>+Caixa gerado por operac</t>
  </si>
  <si>
    <t xml:space="preserve"> Caixa gerado nas operac</t>
  </si>
  <si>
    <t xml:space="preserve"> Lucro liquido</t>
  </si>
  <si>
    <t xml:space="preserve"> Deprec, amortiz e exaust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</si>
  <si>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</si>
  <si>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</si>
  <si>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</si>
  <si>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</si>
  <si>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</si>
  <si>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</si>
  <si>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</si>
  <si>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</si>
  <si>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</si>
  <si>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</si>
  <si>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</si>
  <si>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</si>
  <si>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</si>
  <si>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</si>
  <si>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</si>
  <si>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</si>
  <si>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</si>
  <si>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</si>
  <si>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</si>
  <si>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</si>
  <si>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</si>
  <si>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</si>
  <si>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</si>
  <si>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</si>
  <si>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</si>
  <si>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</si>
  <si>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</si>
  <si>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</si>
  <si>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</si>
  <si>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</si>
  <si>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</si>
  <si>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</si>
  <si>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</si>
  <si>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</si>
  <si>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</si>
  <si>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 xml:space="preserve"> Disponivel e Inv CP</t>
  </si>
  <si>
    <t xml:space="preserve"> Creditos Comerciais CP</t>
  </si>
  <si>
    <t xml:space="preserve"> Creditos diversos</t>
  </si>
  <si>
    <t xml:space="preserve"> Aplicacoes Financ CP</t>
  </si>
  <si>
    <t xml:space="preserve"> Outros Creditos CP</t>
  </si>
  <si>
    <t xml:space="preserve"> Outros Ativos CP</t>
  </si>
  <si>
    <t xml:space="preserve"> Creditos Comerciais LP</t>
  </si>
  <si>
    <t xml:space="preserve"> A Receber de Control LP</t>
  </si>
  <si>
    <t xml:space="preserve"> de Outras Pessoas Ligads</t>
  </si>
  <si>
    <t xml:space="preserve"> Outros Ativos LP</t>
  </si>
  <si>
    <t xml:space="preserve"> Permanente</t>
  </si>
  <si>
    <t xml:space="preserve"> Inv em coligadas</t>
  </si>
  <si>
    <t xml:space="preserve"> Inv em coligadas - agio</t>
  </si>
  <si>
    <t xml:space="preserve"> Invest em Subsidiarias</t>
  </si>
  <si>
    <t xml:space="preserve"> Inv em subsid - agio</t>
  </si>
  <si>
    <t xml:space="preserve"> Outros Investimentos</t>
  </si>
  <si>
    <t xml:space="preserve"> Intangiveis e agio</t>
  </si>
  <si>
    <t xml:space="preserve"> Diferido</t>
  </si>
  <si>
    <t xml:space="preserve"> Impostos a Pagar CP</t>
  </si>
  <si>
    <t xml:space="preserve"> A Pagar a Controlad CP</t>
  </si>
  <si>
    <t xml:space="preserve"> Outros Passivos CP</t>
  </si>
  <si>
    <t xml:space="preserve"> Exigivel LP</t>
  </si>
  <si>
    <t xml:space="preserve"> A Pagar a Controlad LP</t>
  </si>
  <si>
    <t xml:space="preserve"> Outros Passivos LP</t>
  </si>
  <si>
    <t xml:space="preserve"> Resultados de Exer Futur</t>
  </si>
  <si>
    <t xml:space="preserve"> Ativos Proprios</t>
  </si>
  <si>
    <t xml:space="preserve"> Ativos de Contr/Colig</t>
  </si>
  <si>
    <t xml:space="preserve"> Outras reservas</t>
  </si>
  <si>
    <t xml:space="preserve"> Ajuste titulos val mobil</t>
  </si>
  <si>
    <t xml:space="preserve"> Ajustes de comb de negoc</t>
  </si>
  <si>
    <t xml:space="preserve"> Divida Fin Moeda Estrang</t>
  </si>
  <si>
    <t>+Receita Bruta</t>
  </si>
  <si>
    <t>-Impostos sobre Vendas</t>
  </si>
  <si>
    <t>=Receita liquida operac</t>
  </si>
  <si>
    <t>-Despesas operac proprias</t>
  </si>
  <si>
    <t xml:space="preserve"> Despesas com Vendas</t>
  </si>
  <si>
    <t xml:space="preserve"> Despesas administrativ</t>
  </si>
  <si>
    <t>+Outras rec(desp)operac</t>
  </si>
  <si>
    <t>+Outras receitas operac</t>
  </si>
  <si>
    <t>-Outras despesas operac</t>
  </si>
  <si>
    <t>=Lucro operac (antigo)</t>
  </si>
  <si>
    <t>+Result Financ (antigo)</t>
  </si>
  <si>
    <t>-Desp Fin e Juros s/ Patr</t>
  </si>
  <si>
    <t xml:space="preserve"> Despesas Financeiras</t>
  </si>
  <si>
    <t xml:space="preserve"> Juros s/Patrim Liquido</t>
  </si>
  <si>
    <t>+Equivalenc patrimonial</t>
  </si>
  <si>
    <t>=Lucro Operacional</t>
  </si>
  <si>
    <t>+Resultado nao Operac</t>
  </si>
  <si>
    <t>+Receitas Nao Operac</t>
  </si>
  <si>
    <t>-Despesas Nao Operac</t>
  </si>
  <si>
    <t>-Provisao impost de rend</t>
  </si>
  <si>
    <t>-IR Diferido</t>
  </si>
  <si>
    <t>-Partic/Contrib Estatut</t>
  </si>
  <si>
    <t xml:space="preserve"> Participacoes Estatut</t>
  </si>
  <si>
    <t xml:space="preserve"> Contribuicoes Estatut</t>
  </si>
  <si>
    <t>+Rever Juros s/Patr Liqui</t>
  </si>
  <si>
    <t>DOAR</t>
  </si>
  <si>
    <t>+Tot de Recursos Obtidos</t>
  </si>
  <si>
    <t xml:space="preserve"> Das Operacoes</t>
  </si>
  <si>
    <t xml:space="preserve"> Lucro Liquido</t>
  </si>
  <si>
    <t xml:space="preserve"> Itens q nao Afet CapCir</t>
  </si>
  <si>
    <t xml:space="preserve"> Deprec, amort e exaust</t>
  </si>
  <si>
    <t xml:space="preserve"> Variacoes Monetar LP</t>
  </si>
  <si>
    <t xml:space="preserve"> Provis Itens nao Circ</t>
  </si>
  <si>
    <t xml:space="preserve"> Venda de ativos fixos</t>
  </si>
  <si>
    <t xml:space="preserve"> Ganhos part societ diver</t>
  </si>
  <si>
    <t xml:space="preserve"> Equivalencia Patrimon</t>
  </si>
  <si>
    <t xml:space="preserve"> Ajustes de exerc anter</t>
  </si>
  <si>
    <t xml:space="preserve"> Credito Tribut a Recup</t>
  </si>
  <si>
    <t xml:space="preserve"> Imposto Renda Diferido</t>
  </si>
  <si>
    <t xml:space="preserve"> Mutuo c/Control/Coligada</t>
  </si>
  <si>
    <t xml:space="preserve"> Provis Perdas em Invest</t>
  </si>
  <si>
    <t xml:space="preserve"> Gan(perd) dos minoritar</t>
  </si>
  <si>
    <t xml:space="preserve"> Provisoes diversas</t>
  </si>
  <si>
    <t xml:space="preserve"> Outros fluxos operacion</t>
  </si>
  <si>
    <t xml:space="preserve"> Integralizacao de capit</t>
  </si>
  <si>
    <t xml:space="preserve"> De Terceiros</t>
  </si>
  <si>
    <t xml:space="preserve"> Venda/Baixa Bens Permane</t>
  </si>
  <si>
    <t xml:space="preserve"> Incentivos Fiscais</t>
  </si>
  <si>
    <t xml:space="preserve"> Aumento do Passivo LP</t>
  </si>
  <si>
    <t xml:space="preserve"> Reducao do Realiz LP</t>
  </si>
  <si>
    <t xml:space="preserve"> Cap Circ Incor Cont/Coli</t>
  </si>
  <si>
    <t xml:space="preserve"> Transf Perm para Circ</t>
  </si>
  <si>
    <t xml:space="preserve"> Aumto de Acoes Tesour</t>
  </si>
  <si>
    <t xml:space="preserve"> Financmtos e Debent</t>
  </si>
  <si>
    <t xml:space="preserve"> Outras Origens</t>
  </si>
  <si>
    <t>-Tot Recurs Aplicados</t>
  </si>
  <si>
    <t xml:space="preserve"> Aplic no Ativo Permanent</t>
  </si>
  <si>
    <t xml:space="preserve"> Aumento invest permanen</t>
  </si>
  <si>
    <t xml:space="preserve"> Compra de ativos fixos</t>
  </si>
  <si>
    <t xml:space="preserve"> Aumento do Diferido</t>
  </si>
  <si>
    <t xml:space="preserve"> Aumento do Realiz LP</t>
  </si>
  <si>
    <t xml:space="preserve"> Diminuicao de Pasv LP</t>
  </si>
  <si>
    <t xml:space="preserve"> Dividendos</t>
  </si>
  <si>
    <t xml:space="preserve"> Transf do Circ p/ Perm</t>
  </si>
  <si>
    <t xml:space="preserve"> Adiant p Comp de Acoes</t>
  </si>
  <si>
    <t xml:space="preserve"> Aquis acoes proprias</t>
  </si>
  <si>
    <t xml:space="preserve"> Controladas/Incorporadas</t>
  </si>
  <si>
    <t xml:space="preserve"> Incorporacoes</t>
  </si>
  <si>
    <t xml:space="preserve"> Particip Minoritarias</t>
  </si>
  <si>
    <t xml:space="preserve"> Outros Recursos Aplic</t>
  </si>
  <si>
    <t>=Aumento Cap de Giro</t>
  </si>
  <si>
    <t>QTD ACOES</t>
  </si>
  <si>
    <t xml:space="preserve"> Total de acoes outstand</t>
  </si>
  <si>
    <t xml:space="preserve"> Data do Balanco</t>
  </si>
  <si>
    <t xml:space="preserve"> Data da Moeda</t>
  </si>
  <si>
    <t xml:space="preserve"> Data de divulgacao (desta apresentacao)</t>
  </si>
  <si>
    <t xml:space="preserve"> Ultimo processamento feito pela Economatica</t>
  </si>
  <si>
    <t xml:space="preserve"> Indice usado para gerar valores de 3 e 12 meses</t>
  </si>
  <si>
    <t>ICBB&lt;BraNa&gt;</t>
  </si>
  <si>
    <t xml:space="preserve"> Formato do balanco</t>
  </si>
  <si>
    <t>Ind&amp;ComBr</t>
  </si>
  <si>
    <t xml:space="preserve"> Consolidado</t>
  </si>
  <si>
    <t>Sim</t>
  </si>
  <si>
    <t xml:space="preserve"> Reclassif (inibe subtrac</t>
  </si>
  <si>
    <t>Não</t>
  </si>
  <si>
    <t>Iochp-Maxion ON</t>
  </si>
  <si>
    <t>Em R$ Real</t>
  </si>
  <si>
    <t>Economatica</t>
  </si>
  <si>
    <t>Em R$ Real em milhares</t>
  </si>
  <si>
    <t>2013</t>
  </si>
  <si>
    <t>2016</t>
  </si>
  <si>
    <t>2017</t>
  </si>
  <si>
    <t>2018</t>
  </si>
  <si>
    <t>2019</t>
  </si>
  <si>
    <t>2020</t>
  </si>
  <si>
    <t>2021 2º Tri</t>
  </si>
  <si>
    <t>2021 - 2 Tri</t>
  </si>
  <si>
    <t>Dívida de Curto Prazo</t>
  </si>
  <si>
    <t xml:space="preserve">  Financiamento CP</t>
  </si>
  <si>
    <t xml:space="preserve">  Debêntures CP</t>
  </si>
  <si>
    <t xml:space="preserve">  Arrendamento Mercantil Financeiro CP</t>
  </si>
  <si>
    <t>Dívida de Longo Prazo</t>
  </si>
  <si>
    <t xml:space="preserve">  Financiamento LP</t>
  </si>
  <si>
    <t xml:space="preserve">  Debêntures LP</t>
  </si>
  <si>
    <t xml:space="preserve">  Arrendamento Mercantil Financeiro LP</t>
  </si>
  <si>
    <t>Dívida Total</t>
  </si>
  <si>
    <t>Perfil da dívida (CP/Total)</t>
  </si>
  <si>
    <t>Disponibilidades</t>
  </si>
  <si>
    <t xml:space="preserve">  Caixa</t>
  </si>
  <si>
    <t xml:space="preserve">  Aplicações Financeiras</t>
  </si>
  <si>
    <t>Despesas pagas antecipadamente</t>
  </si>
  <si>
    <t>Dívida Líquida</t>
  </si>
  <si>
    <t>Ativo Total</t>
  </si>
  <si>
    <t xml:space="preserve">  Ativo Circulante</t>
  </si>
  <si>
    <t xml:space="preserve">  Ativo não Circulante</t>
  </si>
  <si>
    <t xml:space="preserve">    Realizável a Longo Prazo</t>
  </si>
  <si>
    <t xml:space="preserve">    Investimentos</t>
  </si>
  <si>
    <t xml:space="preserve">    Imobilizado</t>
  </si>
  <si>
    <t xml:space="preserve">    Intangíveis</t>
  </si>
  <si>
    <t xml:space="preserve">Endividamento Geral </t>
  </si>
  <si>
    <t>Endividamento de Curto Prazo</t>
  </si>
  <si>
    <t>DRE</t>
  </si>
  <si>
    <t>Receita Líquida</t>
  </si>
  <si>
    <t>Custo dos produtos vendidos</t>
  </si>
  <si>
    <t>Lucro bruto</t>
  </si>
  <si>
    <t>Despesas ou receitas operacionais</t>
  </si>
  <si>
    <t xml:space="preserve">  Despesas com Vendas</t>
  </si>
  <si>
    <t xml:space="preserve">  Despesas Administrativas</t>
  </si>
  <si>
    <t xml:space="preserve">  Outras receitas operacionais (-)</t>
  </si>
  <si>
    <t xml:space="preserve">  Outras despesas operacionais</t>
  </si>
  <si>
    <t xml:space="preserve">  Equivalência patrimonial (-)</t>
  </si>
  <si>
    <t>EBIT</t>
  </si>
  <si>
    <t>Resultado Financeiro</t>
  </si>
  <si>
    <t xml:space="preserve">  Receitas financeiras</t>
  </si>
  <si>
    <t xml:space="preserve">  Despesas financeiras</t>
  </si>
  <si>
    <t>LAIR</t>
  </si>
  <si>
    <t>Imposto de renda e contribuição social</t>
  </si>
  <si>
    <t xml:space="preserve">  Provisão imposto de renda</t>
  </si>
  <si>
    <t xml:space="preserve">  Contribuição social</t>
  </si>
  <si>
    <t>Lucro operacional</t>
  </si>
  <si>
    <t>Operações descontinuadas</t>
  </si>
  <si>
    <t>Lucro Consolidado Líquido</t>
  </si>
  <si>
    <t>Participação acionária minoritária</t>
  </si>
  <si>
    <t>Lucro Líquido</t>
  </si>
  <si>
    <t>Depreciação, amortização e exaustão</t>
  </si>
  <si>
    <t>EBITDA</t>
  </si>
  <si>
    <t xml:space="preserve">  Ajustes</t>
  </si>
  <si>
    <t xml:space="preserve">    Apropriação</t>
  </si>
  <si>
    <t xml:space="preserve">      Reserva Legal</t>
  </si>
  <si>
    <t xml:space="preserve">      Reserva de incentivos fiscais</t>
  </si>
  <si>
    <t xml:space="preserve">        Outras reversões/adições:</t>
  </si>
  <si>
    <t>EBITDA Ajustado</t>
  </si>
  <si>
    <t>EBITDA Ajustado (Outras fontes)</t>
  </si>
  <si>
    <t>EBITDA Ajustado (1º Tri)</t>
  </si>
  <si>
    <t>EBITDA Ajustado (2º Tri)</t>
  </si>
  <si>
    <t>EBITDA Ajustado (3º Tri)</t>
  </si>
  <si>
    <t>EBITDA Ajustado (4º Tri)</t>
  </si>
  <si>
    <t>EBITDA Ajustado (6M)</t>
  </si>
  <si>
    <t>Lucro ajustado:</t>
  </si>
  <si>
    <t>Fluxo de Caixa Operacional (Estimado)</t>
  </si>
  <si>
    <t>Fluxo de Caixa Operacional (Informado)</t>
  </si>
  <si>
    <t>Fluxo de Caixa Operacional (Economática)</t>
  </si>
  <si>
    <t>Fluxo de Caixa Operacional (1º Tri)</t>
  </si>
  <si>
    <t>Fluxo de Caixa Operacional (2º Tri)</t>
  </si>
  <si>
    <t>Fluxo de Caixa Operacional (3º Tri)</t>
  </si>
  <si>
    <t>Fluxo de Caixa Operacional (4º Tri)</t>
  </si>
  <si>
    <t>Fluxo de Caixa Operacional (6M)</t>
  </si>
  <si>
    <t>Fluxo de Caixa de Investimento</t>
  </si>
  <si>
    <t xml:space="preserve">  Compra de investimento permanente</t>
  </si>
  <si>
    <t xml:space="preserve">  Compra de ativos fixos e dif</t>
  </si>
  <si>
    <t>Dividendos recebidos</t>
  </si>
  <si>
    <t>Investimentos em áreas de negócios (informado)</t>
  </si>
  <si>
    <t>Investimentos em áreas de negócios (calculado)</t>
  </si>
  <si>
    <t>Aquisições de ativos imobilizados e intangíveis</t>
  </si>
  <si>
    <t>Aquisições de ativos imobilizados e intangíveis (6M)</t>
  </si>
  <si>
    <t>Fluxo de Caixa Livre (estimado)</t>
  </si>
  <si>
    <t>Fluxo de Caixa Livre (informado)</t>
  </si>
  <si>
    <t>Fluxo de Caixa Livre (calculado)</t>
  </si>
  <si>
    <t>Fluxo de Caixa Livre (1º Tri)</t>
  </si>
  <si>
    <t>Fluxo de Caixa Livre (2º Tri)</t>
  </si>
  <si>
    <t>Fluxo de Caixa Livre (3º Tri)</t>
  </si>
  <si>
    <t>Fluxo de Caixa Livre (4º Tri)</t>
  </si>
  <si>
    <t>Fluxo de Caixa Livre (6M)</t>
  </si>
  <si>
    <t>Legenda:</t>
  </si>
  <si>
    <t>Valores estimados</t>
  </si>
  <si>
    <t>Margem EBITDA Ajustado</t>
  </si>
  <si>
    <t>Margem EBITDA</t>
  </si>
  <si>
    <t>Margem Líquida</t>
  </si>
  <si>
    <t>Dívida líquida / EBITDA</t>
  </si>
  <si>
    <t>Dívida líquida / EBITDA Ajustado</t>
  </si>
  <si>
    <t>2014</t>
  </si>
  <si>
    <t>2º Tri 2021</t>
  </si>
  <si>
    <t>Min</t>
  </si>
  <si>
    <t>Max</t>
  </si>
  <si>
    <t>Depreciação</t>
  </si>
  <si>
    <t>2012</t>
  </si>
  <si>
    <t xml:space="preserve">    Disponibilidades</t>
  </si>
  <si>
    <t xml:space="preserve">    TVM</t>
  </si>
  <si>
    <t xml:space="preserve">    Clientes</t>
  </si>
  <si>
    <t xml:space="preserve">    Estoques</t>
  </si>
  <si>
    <t xml:space="preserve">    Outros</t>
  </si>
  <si>
    <t xml:space="preserve">    Fornecedores</t>
  </si>
  <si>
    <t xml:space="preserve">    Empréstimos e Financiamentos</t>
  </si>
  <si>
    <t xml:space="preserve">    Impostos a Pagar</t>
  </si>
  <si>
    <t xml:space="preserve">  Passivo Circulante</t>
  </si>
  <si>
    <t xml:space="preserve">  Passivo não Circulante</t>
  </si>
  <si>
    <t xml:space="preserve">    Provisões</t>
  </si>
  <si>
    <t xml:space="preserve">  Patrimônio Líquido Consolidado</t>
  </si>
  <si>
    <t xml:space="preserve">    Capital Social</t>
  </si>
  <si>
    <t xml:space="preserve">    Participação não Controladores</t>
  </si>
  <si>
    <t xml:space="preserve">    Reservas de Lucros</t>
  </si>
  <si>
    <t>OBS: Intervalo a partir de 2013</t>
  </si>
  <si>
    <t>Receita Operacional Líquida</t>
  </si>
  <si>
    <t>Receita Operacional Líquida - Economática</t>
  </si>
  <si>
    <t>Receita Operacional Líquida - Companhia</t>
  </si>
  <si>
    <t>América do Sul - Informada</t>
  </si>
  <si>
    <t>América do Sul - Calculada</t>
  </si>
  <si>
    <t xml:space="preserve">  Rodas Alumínio (Veículos Leves)</t>
  </si>
  <si>
    <t xml:space="preserve">  Rodas Aço (Veículos Leves)</t>
  </si>
  <si>
    <t xml:space="preserve">  Rodas Aço (Veículos Comerciais)</t>
  </si>
  <si>
    <t xml:space="preserve">  Componentes Estruturais (Veículos Leves)</t>
  </si>
  <si>
    <t xml:space="preserve">  Componentes Estruturais (Veículos Comerciais)</t>
  </si>
  <si>
    <t>América do Norte - Informada</t>
  </si>
  <si>
    <t>América do Norte - Calculada</t>
  </si>
  <si>
    <t>Europa - Informada</t>
  </si>
  <si>
    <t>Europa - Calculada</t>
  </si>
  <si>
    <t>Ásia + Outros - Informada</t>
  </si>
  <si>
    <t>Ásia + Outros - Calculada</t>
  </si>
  <si>
    <t>Iochpe‐Maxion Consolidado - Informada</t>
  </si>
  <si>
    <t>Iochpe‐Maxion Consolidado - Calculada</t>
  </si>
  <si>
    <t xml:space="preserve">  Maxion Wheels</t>
  </si>
  <si>
    <t xml:space="preserve">  Maxion Structural Components</t>
  </si>
  <si>
    <t xml:space="preserve">  AmstedMaxion (50%)</t>
  </si>
  <si>
    <t xml:space="preserve">  Ferroviário</t>
  </si>
  <si>
    <t>2019 1T</t>
  </si>
  <si>
    <t>2020 1T</t>
  </si>
  <si>
    <t>2021 1T</t>
  </si>
  <si>
    <t>2021 2T</t>
  </si>
  <si>
    <t>2019 2T</t>
  </si>
  <si>
    <t>2019 3T</t>
  </si>
  <si>
    <t>2019 4T</t>
  </si>
  <si>
    <t>2020 2T</t>
  </si>
  <si>
    <t>2020 3T</t>
  </si>
  <si>
    <t>2020 4T</t>
  </si>
  <si>
    <t>Receita Operacional Líquida (Calculada)</t>
  </si>
  <si>
    <t>Receita Operacional Líquida (Informada)</t>
  </si>
  <si>
    <t>Informações Trimestrais</t>
  </si>
  <si>
    <t>Informações Trimestrais Anualizadas</t>
  </si>
  <si>
    <t xml:space="preserve">  América do Sul</t>
  </si>
  <si>
    <t xml:space="preserve">  América do Norte</t>
  </si>
  <si>
    <t xml:space="preserve">  Europa</t>
  </si>
  <si>
    <t xml:space="preserve">  Ásia + Outros</t>
  </si>
  <si>
    <t>Fluxo das Operações</t>
  </si>
  <si>
    <t xml:space="preserve">  Lucro Líquido</t>
  </si>
  <si>
    <t xml:space="preserve">  Variação em ativos e passivos</t>
  </si>
  <si>
    <t xml:space="preserve">  Outros itens do Fluxo de Caixa Operacional</t>
  </si>
  <si>
    <t xml:space="preserve">  Depreciação, amortização e exaustão</t>
  </si>
  <si>
    <t xml:space="preserve">  Outros ajustes não caixa</t>
  </si>
  <si>
    <t>Fluxo de Financiamento</t>
  </si>
  <si>
    <t xml:space="preserve">  Dividendos pagos</t>
  </si>
  <si>
    <t xml:space="preserve">  Financiamentos pagos</t>
  </si>
  <si>
    <t xml:space="preserve">  Financiamentos obtidos</t>
  </si>
  <si>
    <t xml:space="preserve">  Outros</t>
  </si>
  <si>
    <t>Efeito Cambial</t>
  </si>
  <si>
    <t>Variação Líquida de Caixa</t>
  </si>
  <si>
    <t>Fluxo de Investimentos (Companhia)</t>
  </si>
  <si>
    <t xml:space="preserve">  Aquisição de ativos intangíveis (Companhia)</t>
  </si>
  <si>
    <t xml:space="preserve">  Aquisição de ativos imobilizados (Companhia)</t>
  </si>
  <si>
    <t xml:space="preserve">  Venda de ativos imobilizados (Companhia)</t>
  </si>
  <si>
    <t>Fluxo de Investimento</t>
  </si>
  <si>
    <t>Fluxo de Investimentos (Economática)</t>
  </si>
  <si>
    <t xml:space="preserve">  Aquisição de ativos intangíveis (Economática)</t>
  </si>
  <si>
    <t xml:space="preserve">  Aquisição de ativos imobilizados (Economática)</t>
  </si>
  <si>
    <t xml:space="preserve">  Venda de ativos imobilizados (Economática)</t>
  </si>
  <si>
    <t xml:space="preserve">  Outros (Economática)</t>
  </si>
  <si>
    <t>Fluxo de Financiamento (Companhia)</t>
  </si>
  <si>
    <t xml:space="preserve">  Dividendos pagos (Companhia)</t>
  </si>
  <si>
    <t xml:space="preserve">  Financiamentos obtidos (Companhia)</t>
  </si>
  <si>
    <t xml:space="preserve">  Financiamentos pagos (Companhia)</t>
  </si>
  <si>
    <t xml:space="preserve">  Outros (Companhia)</t>
  </si>
  <si>
    <t>2020 2º Tri</t>
  </si>
  <si>
    <t>Indicadores</t>
  </si>
  <si>
    <t>Liquidez Corrente</t>
  </si>
  <si>
    <t>Liquidez Seca</t>
  </si>
  <si>
    <t>Liquidez Imediata</t>
  </si>
  <si>
    <t>Margem Bruta</t>
  </si>
  <si>
    <t>Margem EBITDA Ajustada</t>
  </si>
  <si>
    <t>ROE</t>
  </si>
  <si>
    <t>ROA</t>
  </si>
  <si>
    <t>ROIC</t>
  </si>
  <si>
    <t>Patrimônio Líquido:</t>
  </si>
  <si>
    <t>Lucro Líquido:</t>
  </si>
  <si>
    <t>Participação acionistas minoritários:</t>
  </si>
  <si>
    <t>Ativo Total:</t>
  </si>
  <si>
    <t>NOPAT:</t>
  </si>
  <si>
    <t>EBIT:</t>
  </si>
  <si>
    <t>Investimento:</t>
  </si>
  <si>
    <t>Passivo Oneroso:</t>
  </si>
  <si>
    <t>Disponibilidades:</t>
  </si>
  <si>
    <t>Passivo Circulante:</t>
  </si>
  <si>
    <t>Empréstimos e Financiamento CP:</t>
  </si>
  <si>
    <t>Mínimo</t>
  </si>
  <si>
    <t>Máximo</t>
  </si>
  <si>
    <t>Prazo Médio de Recebimento - PMR</t>
  </si>
  <si>
    <t>Prazo Médio de Estoque - PME</t>
  </si>
  <si>
    <t>Prazo Médio de Pagamento - PMP</t>
  </si>
  <si>
    <t>Ciclo de Conversão de Caixa</t>
  </si>
  <si>
    <t>CO = PMRE + PMRV</t>
  </si>
  <si>
    <t>CO:</t>
  </si>
  <si>
    <t>Ciclo Operacional</t>
  </si>
  <si>
    <t>PMRE:</t>
  </si>
  <si>
    <t>Prazo Médio de Renovação de Estoques</t>
  </si>
  <si>
    <t>PMRV:</t>
  </si>
  <si>
    <t>Prazo Médio de Recebimento de Vendas</t>
  </si>
  <si>
    <t>PMRE</t>
  </si>
  <si>
    <t>PMRV</t>
  </si>
  <si>
    <t>PMPC</t>
  </si>
  <si>
    <t>Ciclo Financeiro</t>
  </si>
  <si>
    <t>Fornecedores:</t>
  </si>
  <si>
    <t>Fornecedores = PMPC * Compras Diárias</t>
  </si>
  <si>
    <t>Ciclo de Caixa = CO - PMP</t>
  </si>
  <si>
    <t>PMP:</t>
  </si>
  <si>
    <t>Prazo Médio de Pagamento</t>
  </si>
  <si>
    <t>PME = (Estoque Médio de Matéria-Prima / Consumo Anual) * 360</t>
  </si>
  <si>
    <t>PMF = (Estoque Médio de Produtos em Elaboração / Custo de Produção) * 360</t>
  </si>
  <si>
    <t>PMV = (Estoque Médio de Produtos Acabados / Custo dos Produtos Vendidos) * 360</t>
  </si>
  <si>
    <t>Custo do Produto Vendido:</t>
  </si>
  <si>
    <t>Estoque:</t>
  </si>
  <si>
    <t>Contas a Receber:</t>
  </si>
  <si>
    <t>Vendas:</t>
  </si>
  <si>
    <t>Dívida Bruta</t>
  </si>
  <si>
    <t>Perfil da dívida:</t>
  </si>
  <si>
    <t>EBITDA Ajustado:</t>
  </si>
  <si>
    <t>Dívida Líquida / EBITDA Ajustado</t>
  </si>
  <si>
    <t>Passivo Circulante</t>
  </si>
  <si>
    <t>Passivo não Circulante</t>
  </si>
  <si>
    <t>Patrimônio Líquido</t>
  </si>
  <si>
    <t>Estrutura de Capital</t>
  </si>
  <si>
    <t>Retorno sobre o Patrimônio Líquido</t>
  </si>
  <si>
    <t>Retorno sobre o Ativo Total</t>
  </si>
  <si>
    <t>Grau de Alavancagem Financeira</t>
  </si>
  <si>
    <t>Patrimônio Líquido Consolidado</t>
  </si>
  <si>
    <t>Dívida Líquida (R$ Milhões)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</si>
</sst>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_-* #,##0.0_-;\-* #,##0.0_-;_-* &quot;-&quot;??_-;_-@_-"/>
    <numFmt numFmtId="168" formatCode="#,##0_ ;\-#,##0\ "/>
    <numFmt numFmtId="169" formatCode="#,##0_ ;[Red]\-#,##0\ "/>
    <numFmt numFmtId="170" formatCode="#,##0.00_ ;[Red]\-#,##0.00\ 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</font>
    <font>
      <sz val="9"/>
      <color rgb="FF333333"/>
      <name val="Arial"/>
    </font>
    <font>
      <sz val="9"/>
      <color rgb="FF0015AA"/>
      <name val="Arial"/>
    </font>
    <font>
      <sz val="9"/>
      <color rgb="FF3297D3"/>
      <name val="Arial"/>
    </font>
    <font>
      <sz val="9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E1FF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rgb="FFD0D7E5"/>
      </bottom>
      <diagonal/>
    </border>
    <border>
      <left style="thin">
        <color rgb="FFD0D7E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shrinkToFit="1"/>
    </xf>
    <xf numFmtId="0" fontId="2" fillId="3" borderId="1" xfId="0" applyNumberFormat="1" applyFont="1" applyFill="1" applyBorder="1" applyAlignment="1">
      <alignment horizontal="left" vertical="center" shrinkToFit="1"/>
    </xf>
    <xf numFmtId="14" fontId="2" fillId="2" borderId="1" xfId="0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right" vertical="center" shrinkToFit="1"/>
    </xf>
    <xf numFmtId="0" fontId="3" fillId="3" borderId="1" xfId="0" applyNumberFormat="1" applyFont="1" applyFill="1" applyBorder="1" applyAlignment="1">
      <alignment horizontal="left" vertical="center" indent="1" shrinkToFit="1"/>
    </xf>
    <xf numFmtId="4" fontId="2" fillId="3" borderId="1" xfId="0" applyNumberFormat="1" applyFont="1" applyFill="1" applyBorder="1" applyAlignment="1">
      <alignment horizontal="right" vertical="center" shrinkToFit="1"/>
    </xf>
    <xf numFmtId="0" fontId="4" fillId="3" borderId="1" xfId="0" applyNumberFormat="1" applyFont="1" applyFill="1" applyBorder="1" applyAlignment="1">
      <alignment horizontal="left" vertical="center" indent="2" shrinkToFit="1"/>
    </xf>
    <xf numFmtId="4" fontId="3" fillId="3" borderId="1" xfId="0" applyNumberFormat="1" applyFont="1" applyFill="1" applyBorder="1" applyAlignment="1">
      <alignment horizontal="right" vertical="center" shrinkToFit="1"/>
    </xf>
    <xf numFmtId="0" fontId="3" fillId="3" borderId="1" xfId="0" applyNumberFormat="1" applyFont="1" applyFill="1" applyBorder="1" applyAlignment="1">
      <alignment horizontal="left" vertical="center" indent="3" shrinkToFit="1"/>
    </xf>
    <xf numFmtId="4" fontId="4" fillId="3" borderId="1" xfId="0" applyNumberFormat="1" applyFont="1" applyFill="1" applyBorder="1" applyAlignment="1">
      <alignment horizontal="right" vertical="center" shrinkToFit="1"/>
    </xf>
    <xf numFmtId="0" fontId="2" fillId="3" borderId="1" xfId="0" applyNumberFormat="1" applyFont="1" applyFill="1" applyBorder="1" applyAlignment="1">
      <alignment horizontal="left" vertical="center" indent="4" shrinkToFit="1"/>
    </xf>
    <xf numFmtId="0" fontId="3" fillId="3" borderId="1" xfId="0" applyNumberFormat="1" applyFont="1" applyFill="1" applyBorder="1" applyAlignment="1">
      <alignment horizontal="left" vertical="center" indent="5" shrinkToFit="1"/>
    </xf>
    <xf numFmtId="0" fontId="3" fillId="3" borderId="1" xfId="0" applyFont="1" applyFill="1" applyBorder="1" applyAlignment="1">
      <alignment horizontal="right" vertical="center" shrinkToFit="1"/>
    </xf>
    <xf numFmtId="0" fontId="4" fillId="3" borderId="1" xfId="0" applyNumberFormat="1" applyFont="1" applyFill="1" applyBorder="1" applyAlignment="1">
      <alignment horizontal="right" vertical="center" shrinkToFit="1"/>
    </xf>
    <xf numFmtId="14" fontId="2" fillId="3" borderId="1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/>
    <xf numFmtId="0" fontId="10" fillId="2" borderId="1" xfId="0" applyFont="1" applyFill="1" applyBorder="1" applyAlignment="1">
      <alignment horizontal="left" vertical="center" shrinkToFit="1"/>
    </xf>
    <xf numFmtId="49" fontId="11" fillId="2" borderId="1" xfId="0" applyNumberFormat="1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center" vertical="center" shrinkToFit="1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5" fontId="0" fillId="0" borderId="0" xfId="2" applyNumberFormat="1" applyFont="1"/>
    <xf numFmtId="9" fontId="0" fillId="0" borderId="0" xfId="2" applyFont="1"/>
    <xf numFmtId="0" fontId="7" fillId="0" borderId="0" xfId="0" applyFont="1"/>
    <xf numFmtId="41" fontId="0" fillId="0" borderId="0" xfId="0" applyNumberFormat="1"/>
    <xf numFmtId="0" fontId="0" fillId="4" borderId="0" xfId="0" applyFill="1"/>
    <xf numFmtId="4" fontId="0" fillId="4" borderId="0" xfId="0" applyNumberFormat="1" applyFill="1"/>
    <xf numFmtId="4" fontId="0" fillId="5" borderId="0" xfId="0" applyNumberFormat="1" applyFill="1"/>
    <xf numFmtId="2" fontId="0" fillId="0" borderId="0" xfId="2" applyNumberFormat="1" applyFont="1"/>
    <xf numFmtId="166" fontId="0" fillId="0" borderId="0" xfId="0" applyNumberFormat="1"/>
    <xf numFmtId="167" fontId="0" fillId="0" borderId="0" xfId="1" applyNumberFormat="1" applyFont="1"/>
    <xf numFmtId="3" fontId="0" fillId="0" borderId="0" xfId="0" applyNumberFormat="1"/>
    <xf numFmtId="168" fontId="0" fillId="0" borderId="0" xfId="0" applyNumberFormat="1"/>
    <xf numFmtId="4" fontId="0" fillId="6" borderId="0" xfId="0" applyNumberFormat="1" applyFill="1"/>
    <xf numFmtId="4" fontId="0" fillId="0" borderId="0" xfId="0" applyNumberFormat="1" applyFill="1"/>
    <xf numFmtId="0" fontId="3" fillId="3" borderId="1" xfId="0" applyNumberFormat="1" applyFont="1" applyFill="1" applyBorder="1" applyAlignment="1">
      <alignment horizontal="right" vertical="center" shrinkToFit="1"/>
    </xf>
    <xf numFmtId="169" fontId="0" fillId="0" borderId="0" xfId="1" applyNumberFormat="1" applyFont="1"/>
    <xf numFmtId="168" fontId="0" fillId="0" borderId="0" xfId="1" applyNumberFormat="1" applyFont="1"/>
    <xf numFmtId="169" fontId="0" fillId="0" borderId="0" xfId="0" applyNumberFormat="1"/>
    <xf numFmtId="169" fontId="0" fillId="5" borderId="0" xfId="0" applyNumberFormat="1" applyFill="1"/>
    <xf numFmtId="169" fontId="0" fillId="0" borderId="0" xfId="0" applyNumberFormat="1" applyFill="1"/>
    <xf numFmtId="49" fontId="11" fillId="7" borderId="1" xfId="0" applyNumberFormat="1" applyFont="1" applyFill="1" applyBorder="1" applyAlignment="1">
      <alignment horizontal="center" vertical="center" shrinkToFit="1"/>
    </xf>
    <xf numFmtId="9" fontId="0" fillId="0" borderId="0" xfId="0" applyNumberFormat="1"/>
    <xf numFmtId="4" fontId="0" fillId="7" borderId="0" xfId="0" applyNumberFormat="1" applyFill="1"/>
    <xf numFmtId="0" fontId="0" fillId="8" borderId="0" xfId="0" applyFill="1"/>
    <xf numFmtId="2" fontId="0" fillId="0" borderId="0" xfId="0" applyNumberFormat="1"/>
    <xf numFmtId="170" fontId="0" fillId="0" borderId="0" xfId="0" applyNumberFormat="1"/>
    <xf numFmtId="10" fontId="0" fillId="0" borderId="0" xfId="2" applyNumberFormat="1" applyFont="1"/>
    <xf numFmtId="0" fontId="0" fillId="7" borderId="2" xfId="0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6" fontId="0" fillId="0" borderId="0" xfId="2" applyNumberFormat="1" applyFont="1"/>
    <xf numFmtId="3" fontId="0" fillId="0" borderId="0" xfId="2" applyNumberFormat="1" applyFont="1"/>
    <xf numFmtId="1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Depreciação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Iochpe_Anual_e_2_Tri!$C$176:$K$176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Iochpe_Anual_e_2_Tri!$C$177:$K$177</c:f>
              <c:numCache>
                <c:formatCode>#,##0.00</c:formatCode>
                <c:ptCount val="9"/>
                <c:pt idx="0">
                  <c:v>212339000</c:v>
                </c:pt>
                <c:pt idx="1">
                  <c:v>240352000</c:v>
                </c:pt>
                <c:pt idx="2">
                  <c:v>301464000</c:v>
                </c:pt>
                <c:pt idx="3">
                  <c:v>316903000</c:v>
                </c:pt>
                <c:pt idx="4">
                  <c:v>301997000</c:v>
                </c:pt>
                <c:pt idx="5">
                  <c:v>355575000</c:v>
                </c:pt>
                <c:pt idx="6">
                  <c:v>419554000</c:v>
                </c:pt>
                <c:pt idx="7">
                  <c:v>556861000</c:v>
                </c:pt>
                <c:pt idx="8">
                  <c:v>588168000</c:v>
                </c:pt>
              </c:numCache>
            </c:numRef>
          </c:val>
        </c:ser>
        <c:ser>
          <c:idx val="1"/>
          <c:order val="1"/>
          <c:tx>
            <c:v>EBITDA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Iochpe_Anual_e_2_Tri!$C$176:$K$176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Iochpe_Anual_e_2_Tri!$C$178:$K$178</c:f>
              <c:numCache>
                <c:formatCode>#,##0.00</c:formatCode>
                <c:ptCount val="9"/>
                <c:pt idx="0">
                  <c:v>665898000</c:v>
                </c:pt>
                <c:pt idx="1">
                  <c:v>658055000</c:v>
                </c:pt>
                <c:pt idx="2">
                  <c:v>751066000</c:v>
                </c:pt>
                <c:pt idx="3">
                  <c:v>796225000</c:v>
                </c:pt>
                <c:pt idx="4">
                  <c:v>798553000</c:v>
                </c:pt>
                <c:pt idx="5">
                  <c:v>1057068000</c:v>
                </c:pt>
                <c:pt idx="6">
                  <c:v>1095809000</c:v>
                </c:pt>
                <c:pt idx="7">
                  <c:v>372140000</c:v>
                </c:pt>
                <c:pt idx="8">
                  <c:v>1327357000</c:v>
                </c:pt>
              </c:numCache>
            </c:numRef>
          </c:val>
        </c:ser>
        <c:ser>
          <c:idx val="2"/>
          <c:order val="2"/>
          <c:tx>
            <c:strRef>
              <c:f>Iochpe_Anual_e_2_Tri!$A$179</c:f>
              <c:strCache>
                <c:ptCount val="1"/>
                <c:pt idx="0">
                  <c:v>Resultado Financeiro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Iochpe_Anual_e_2_Tri!$C$176:$K$176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Iochpe_Anual_e_2_Tri!$C$179:$K$179</c:f>
              <c:numCache>
                <c:formatCode>#,##0.00</c:formatCode>
                <c:ptCount val="9"/>
                <c:pt idx="0">
                  <c:v>-212924000</c:v>
                </c:pt>
                <c:pt idx="1">
                  <c:v>-256460000</c:v>
                </c:pt>
                <c:pt idx="2">
                  <c:v>-316760000</c:v>
                </c:pt>
                <c:pt idx="3">
                  <c:v>-344490000</c:v>
                </c:pt>
                <c:pt idx="4">
                  <c:v>-347208000</c:v>
                </c:pt>
                <c:pt idx="5">
                  <c:v>-220819000</c:v>
                </c:pt>
                <c:pt idx="6">
                  <c:v>-169904000</c:v>
                </c:pt>
                <c:pt idx="7">
                  <c:v>-232986000</c:v>
                </c:pt>
                <c:pt idx="8">
                  <c:v>-226870000</c:v>
                </c:pt>
              </c:numCache>
            </c:numRef>
          </c:val>
        </c:ser>
        <c:ser>
          <c:idx val="3"/>
          <c:order val="3"/>
          <c:tx>
            <c:strRef>
              <c:f>Iochpe_Anual_e_2_Tri!$A$180</c:f>
              <c:strCache>
                <c:ptCount val="1"/>
                <c:pt idx="0">
                  <c:v>Lucro Líquido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Iochpe_Anual_e_2_Tri!$C$176:$K$176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Iochpe_Anual_e_2_Tri!$C$180:$K$180</c:f>
              <c:numCache>
                <c:formatCode>#,##0.00</c:formatCode>
                <c:ptCount val="9"/>
                <c:pt idx="0">
                  <c:v>170329000</c:v>
                </c:pt>
                <c:pt idx="1">
                  <c:v>67777000</c:v>
                </c:pt>
                <c:pt idx="2">
                  <c:v>49366000</c:v>
                </c:pt>
                <c:pt idx="3">
                  <c:v>21531000</c:v>
                </c:pt>
                <c:pt idx="4">
                  <c:v>6403000</c:v>
                </c:pt>
                <c:pt idx="5">
                  <c:v>201325000</c:v>
                </c:pt>
                <c:pt idx="6">
                  <c:v>337435000</c:v>
                </c:pt>
                <c:pt idx="7">
                  <c:v>-491780000</c:v>
                </c:pt>
                <c:pt idx="8">
                  <c:v>117712000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70528"/>
        <c:axId val="137867000"/>
      </c:barChart>
      <c:catAx>
        <c:axId val="13787052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7000"/>
        <c:crosses val="autoZero"/>
        <c:auto val="1"/>
        <c:lblAlgn val="ctr"/>
        <c:lblOffset val="0"/>
        <c:noMultiLvlLbl val="0"/>
      </c:catAx>
      <c:valAx>
        <c:axId val="137867000"/>
        <c:scaling>
          <c:orientation val="minMax"/>
          <c:max val="1100000000"/>
          <c:min val="-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0528"/>
        <c:crosses val="autoZero"/>
        <c:crossBetween val="between"/>
        <c:majorUnit val="1000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Ciclo_Financeiro!$A$26</c:f>
              <c:strCache>
                <c:ptCount val="1"/>
                <c:pt idx="0">
                  <c:v>Prazo Médio de Estoque - PME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Ciclo_Financeiro!$C$24:$K$24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Ciclo_Financeiro!$C$26:$K$26</c:f>
              <c:numCache>
                <c:formatCode>0.0</c:formatCode>
                <c:ptCount val="9"/>
                <c:pt idx="0">
                  <c:v>43.676558783443724</c:v>
                </c:pt>
                <c:pt idx="1">
                  <c:v>47.925206522993719</c:v>
                </c:pt>
                <c:pt idx="2">
                  <c:v>51.672368865657624</c:v>
                </c:pt>
                <c:pt idx="3">
                  <c:v>53.281135312094825</c:v>
                </c:pt>
                <c:pt idx="4">
                  <c:v>67.728213117337518</c:v>
                </c:pt>
                <c:pt idx="5">
                  <c:v>62.82069355556137</c:v>
                </c:pt>
                <c:pt idx="6">
                  <c:v>54.154638730488585</c:v>
                </c:pt>
                <c:pt idx="7">
                  <c:v>76.807728374528921</c:v>
                </c:pt>
                <c:pt idx="8">
                  <c:v>86.220413462498755</c:v>
                </c:pt>
              </c:numCache>
            </c:numRef>
          </c:val>
        </c:ser>
        <c:ser>
          <c:idx val="0"/>
          <c:order val="1"/>
          <c:tx>
            <c:strRef>
              <c:f>Ciclo_Financeiro!$A$25</c:f>
              <c:strCache>
                <c:ptCount val="1"/>
                <c:pt idx="0">
                  <c:v>Prazo Médio de Recebimento - PMR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Ciclo_Financeiro!$C$24:$K$24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Ciclo_Financeiro!$C$25:$K$25</c:f>
              <c:numCache>
                <c:formatCode>0.0</c:formatCode>
                <c:ptCount val="9"/>
                <c:pt idx="0">
                  <c:v>43.942379433062278</c:v>
                </c:pt>
                <c:pt idx="1">
                  <c:v>43.885800932628761</c:v>
                </c:pt>
                <c:pt idx="2">
                  <c:v>45.509466503545774</c:v>
                </c:pt>
                <c:pt idx="3">
                  <c:v>44.107519833626107</c:v>
                </c:pt>
                <c:pt idx="4">
                  <c:v>51.198294858131874</c:v>
                </c:pt>
                <c:pt idx="5">
                  <c:v>46.93878174961074</c:v>
                </c:pt>
                <c:pt idx="6">
                  <c:v>37.00672747031242</c:v>
                </c:pt>
                <c:pt idx="7">
                  <c:v>57.775185353278466</c:v>
                </c:pt>
                <c:pt idx="8">
                  <c:v>53.902444307033996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516135056"/>
        <c:axId val="516136624"/>
      </c:barChart>
      <c:catAx>
        <c:axId val="5161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136624"/>
        <c:crosses val="autoZero"/>
        <c:auto val="1"/>
        <c:lblAlgn val="ctr"/>
        <c:lblOffset val="100"/>
        <c:noMultiLvlLbl val="0"/>
      </c:catAx>
      <c:valAx>
        <c:axId val="516136624"/>
        <c:scaling>
          <c:orientation val="minMax"/>
          <c:max val="145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5161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2140974967063"/>
          <c:y val="0.92365420411175225"/>
          <c:w val="0.44253293807641636"/>
          <c:h val="5.632077249287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Ciclo_Financeiro!$A$27</c:f>
              <c:strCache>
                <c:ptCount val="1"/>
                <c:pt idx="0">
                  <c:v>Prazo Médio de Pagamento - PMP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Ciclo_Financeiro!$C$24:$K$24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Ciclo_Financeiro!$C$27:$K$27</c:f>
              <c:numCache>
                <c:formatCode>0.0</c:formatCode>
                <c:ptCount val="9"/>
                <c:pt idx="0">
                  <c:v>43.089475191997252</c:v>
                </c:pt>
                <c:pt idx="1">
                  <c:v>57.852090198785007</c:v>
                </c:pt>
                <c:pt idx="2">
                  <c:v>56.619504006094289</c:v>
                </c:pt>
                <c:pt idx="3">
                  <c:v>52.730171407570595</c:v>
                </c:pt>
                <c:pt idx="4">
                  <c:v>60.045779526231172</c:v>
                </c:pt>
                <c:pt idx="5">
                  <c:v>57.132292836498522</c:v>
                </c:pt>
                <c:pt idx="6">
                  <c:v>45.934484157660975</c:v>
                </c:pt>
                <c:pt idx="7">
                  <c:v>64.292549774229116</c:v>
                </c:pt>
                <c:pt idx="8">
                  <c:v>59.243135087177365</c:v>
                </c:pt>
              </c:numCache>
            </c:numRef>
          </c:val>
        </c:ser>
        <c:ser>
          <c:idx val="0"/>
          <c:order val="1"/>
          <c:tx>
            <c:strRef>
              <c:f>Ciclo_Financeiro!$A$28</c:f>
              <c:strCache>
                <c:ptCount val="1"/>
                <c:pt idx="0">
                  <c:v>Ciclo de Conversão de Caixa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Ciclo_Financeiro!$C$24:$K$24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Ciclo_Financeiro!$C$28:$K$28</c:f>
              <c:numCache>
                <c:formatCode>0.0</c:formatCode>
                <c:ptCount val="9"/>
                <c:pt idx="0">
                  <c:v>44.529463024508743</c:v>
                </c:pt>
                <c:pt idx="1">
                  <c:v>33.958917256837466</c:v>
                </c:pt>
                <c:pt idx="2">
                  <c:v>40.562331363109109</c:v>
                </c:pt>
                <c:pt idx="3">
                  <c:v>44.658483738150338</c:v>
                </c:pt>
                <c:pt idx="4">
                  <c:v>58.880728449238219</c:v>
                </c:pt>
                <c:pt idx="5">
                  <c:v>52.627182468673595</c:v>
                </c:pt>
                <c:pt idx="6">
                  <c:v>45.226882043140037</c:v>
                </c:pt>
                <c:pt idx="7">
                  <c:v>70.290363953578264</c:v>
                </c:pt>
                <c:pt idx="8">
                  <c:v>80.879722682355379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93849464"/>
        <c:axId val="193847504"/>
      </c:barChart>
      <c:catAx>
        <c:axId val="1938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7504"/>
        <c:crosses val="autoZero"/>
        <c:auto val="1"/>
        <c:lblAlgn val="ctr"/>
        <c:lblOffset val="100"/>
        <c:noMultiLvlLbl val="0"/>
      </c:catAx>
      <c:valAx>
        <c:axId val="193847504"/>
        <c:scaling>
          <c:orientation val="minMax"/>
          <c:max val="145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1938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997299077733864"/>
          <c:y val="0.92365420411175225"/>
          <c:w val="0.41270663153271842"/>
          <c:h val="5.632077249287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Ciclo_Financeiro!$A$29</c:f>
              <c:strCache>
                <c:ptCount val="1"/>
                <c:pt idx="0">
                  <c:v>Ciclo Operacional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Ciclo_Financeiro!$C$24:$K$24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Ciclo_Financeiro!$C$29:$K$29</c:f>
              <c:numCache>
                <c:formatCode>0.0</c:formatCode>
                <c:ptCount val="9"/>
                <c:pt idx="0">
                  <c:v>87.618938216505995</c:v>
                </c:pt>
                <c:pt idx="1">
                  <c:v>91.811007455622473</c:v>
                </c:pt>
                <c:pt idx="2">
                  <c:v>97.181835369203398</c:v>
                </c:pt>
                <c:pt idx="3">
                  <c:v>97.388655145720932</c:v>
                </c:pt>
                <c:pt idx="4">
                  <c:v>118.92650797546939</c:v>
                </c:pt>
                <c:pt idx="5">
                  <c:v>109.75947530517212</c:v>
                </c:pt>
                <c:pt idx="6">
                  <c:v>91.161366200801012</c:v>
                </c:pt>
                <c:pt idx="7">
                  <c:v>134.58291372780738</c:v>
                </c:pt>
                <c:pt idx="8">
                  <c:v>140.12285776953274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93849856"/>
        <c:axId val="193853384"/>
      </c:barChart>
      <c:catAx>
        <c:axId val="1938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53384"/>
        <c:crosses val="autoZero"/>
        <c:auto val="1"/>
        <c:lblAlgn val="ctr"/>
        <c:lblOffset val="100"/>
        <c:noMultiLvlLbl val="0"/>
      </c:catAx>
      <c:valAx>
        <c:axId val="193853384"/>
        <c:scaling>
          <c:orientation val="minMax"/>
          <c:max val="145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1938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922156346069396E-2"/>
          <c:y val="0.92365420411175225"/>
          <c:w val="0.1233888888888889"/>
          <c:h val="5.632077249287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Dívida Bruta e do Perfil da</a:t>
            </a:r>
            <a:r>
              <a:rPr lang="pt-BR" baseline="0"/>
              <a:t> Dívida</a:t>
            </a:r>
            <a:endParaRPr lang="pt-BR"/>
          </a:p>
        </c:rich>
      </c:tx>
      <c:layout>
        <c:manualLayout>
          <c:xMode val="edge"/>
          <c:yMode val="edge"/>
          <c:x val="0.32753381893860561"/>
          <c:y val="8.9887628667888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Endividamento!$A$25</c:f>
              <c:strCache>
                <c:ptCount val="1"/>
                <c:pt idx="0">
                  <c:v>Dívida de Curto Prazo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7A29E15-749A-40D4-A574-3EEC3311D54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A3D2F7-251A-43C3-9F4D-AC42DC076AC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2E59A87-0165-4252-B3AE-93B3BAB116C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7C96634-0474-48D2-AC52-B3A961798B5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03F9B78-7F9F-449F-830B-664D2B25447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B09580C-B424-4850-8186-63DDD6E7C3F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0ADFB27-C1C4-44B1-B899-1FC28A508DC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D19A09B-8496-44D7-B5FD-5E619D28960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B834C8D-B52F-46D7-AE25-E2E0A382A2F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Endividamento!$C$24:$K$24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Endividamento!$C$25:$K$25</c:f>
              <c:numCache>
                <c:formatCode>#,##0</c:formatCode>
                <c:ptCount val="9"/>
                <c:pt idx="0">
                  <c:v>712.303</c:v>
                </c:pt>
                <c:pt idx="1">
                  <c:v>1071.0440000000001</c:v>
                </c:pt>
                <c:pt idx="2">
                  <c:v>1684.702</c:v>
                </c:pt>
                <c:pt idx="3">
                  <c:v>1182.808</c:v>
                </c:pt>
                <c:pt idx="4">
                  <c:v>1352.5440000000001</c:v>
                </c:pt>
                <c:pt idx="5">
                  <c:v>1076.1489999999999</c:v>
                </c:pt>
                <c:pt idx="6">
                  <c:v>648.697</c:v>
                </c:pt>
                <c:pt idx="7">
                  <c:v>1907.5640000000001</c:v>
                </c:pt>
                <c:pt idx="8">
                  <c:v>1798.78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Endividamento!$C$30:$K$30</c15:f>
                <c15:dlblRangeCache>
                  <c:ptCount val="9"/>
                  <c:pt idx="0">
                    <c:v>25,7%</c:v>
                  </c:pt>
                  <c:pt idx="1">
                    <c:v>37,0%</c:v>
                  </c:pt>
                  <c:pt idx="2">
                    <c:v>49,3%</c:v>
                  </c:pt>
                  <c:pt idx="3">
                    <c:v>38,7%</c:v>
                  </c:pt>
                  <c:pt idx="4">
                    <c:v>47,6%</c:v>
                  </c:pt>
                  <c:pt idx="5">
                    <c:v>38,2%</c:v>
                  </c:pt>
                  <c:pt idx="6">
                    <c:v>21,2%</c:v>
                  </c:pt>
                  <c:pt idx="7">
                    <c:v>37,3%</c:v>
                  </c:pt>
                  <c:pt idx="8">
                    <c:v>33,5%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Endividamento!$A$26</c:f>
              <c:strCache>
                <c:ptCount val="1"/>
                <c:pt idx="0">
                  <c:v>Dívida de Longo Prazo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Endividamento!$C$24:$K$24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Endividamento!$C$26:$K$26</c:f>
              <c:numCache>
                <c:formatCode>#,##0</c:formatCode>
                <c:ptCount val="9"/>
                <c:pt idx="0">
                  <c:v>2061.181</c:v>
                </c:pt>
                <c:pt idx="1">
                  <c:v>1821.3620000000001</c:v>
                </c:pt>
                <c:pt idx="2">
                  <c:v>1730.153</c:v>
                </c:pt>
                <c:pt idx="3">
                  <c:v>1877.277</c:v>
                </c:pt>
                <c:pt idx="4">
                  <c:v>1490.732</c:v>
                </c:pt>
                <c:pt idx="5">
                  <c:v>1737.556</c:v>
                </c:pt>
                <c:pt idx="6">
                  <c:v>2412.886</c:v>
                </c:pt>
                <c:pt idx="7">
                  <c:v>3212.8249999999998</c:v>
                </c:pt>
                <c:pt idx="8">
                  <c:v>3574.364</c:v>
                </c:pt>
              </c:numCache>
            </c:numRef>
          </c:val>
        </c:ser>
        <c:ser>
          <c:idx val="2"/>
          <c:order val="2"/>
          <c:tx>
            <c:strRef>
              <c:f>Endividamento!$A$27</c:f>
              <c:strCache>
                <c:ptCount val="1"/>
                <c:pt idx="0">
                  <c:v>Dívida Bruta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Endividamento!$C$24:$K$24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Endividamento!$C$27:$K$27</c:f>
              <c:numCache>
                <c:formatCode>#,##0</c:formatCode>
                <c:ptCount val="9"/>
                <c:pt idx="0">
                  <c:v>2773.4839999999999</c:v>
                </c:pt>
                <c:pt idx="1">
                  <c:v>2892.4059999999999</c:v>
                </c:pt>
                <c:pt idx="2">
                  <c:v>3414.855</c:v>
                </c:pt>
                <c:pt idx="3">
                  <c:v>3060.085</c:v>
                </c:pt>
                <c:pt idx="4">
                  <c:v>2843.2759999999998</c:v>
                </c:pt>
                <c:pt idx="5">
                  <c:v>2813.7049999999999</c:v>
                </c:pt>
                <c:pt idx="6">
                  <c:v>3061.5830000000001</c:v>
                </c:pt>
                <c:pt idx="7">
                  <c:v>5120.3890000000001</c:v>
                </c:pt>
                <c:pt idx="8">
                  <c:v>5373.1440000000002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770840"/>
        <c:axId val="328770056"/>
      </c:barChart>
      <c:catAx>
        <c:axId val="32877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770056"/>
        <c:crosses val="autoZero"/>
        <c:auto val="1"/>
        <c:lblAlgn val="ctr"/>
        <c:lblOffset val="100"/>
        <c:noMultiLvlLbl val="0"/>
      </c:catAx>
      <c:valAx>
        <c:axId val="328770056"/>
        <c:scaling>
          <c:orientation val="minMax"/>
          <c:max val="5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32877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Dívida</a:t>
            </a:r>
            <a:r>
              <a:rPr lang="pt-BR" baseline="0"/>
              <a:t> Líquida e da relação com o EBITDA Ajustado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Endividamento!$A$29</c:f>
              <c:strCache>
                <c:ptCount val="1"/>
                <c:pt idx="0">
                  <c:v>Dívida Líquida (R$ Milhões)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Endividamento!$C$24:$K$24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Endividamento!$C$29:$K$29</c:f>
              <c:numCache>
                <c:formatCode>#,##0</c:formatCode>
                <c:ptCount val="9"/>
                <c:pt idx="0">
                  <c:v>2111.2539999999999</c:v>
                </c:pt>
                <c:pt idx="1">
                  <c:v>2175.3270000000002</c:v>
                </c:pt>
                <c:pt idx="2">
                  <c:v>2675.6</c:v>
                </c:pt>
                <c:pt idx="3">
                  <c:v>2628.4859999999999</c:v>
                </c:pt>
                <c:pt idx="4">
                  <c:v>2299.9450000000002</c:v>
                </c:pt>
                <c:pt idx="5">
                  <c:v>2326.8020000000001</c:v>
                </c:pt>
                <c:pt idx="6">
                  <c:v>2415.4459999999999</c:v>
                </c:pt>
                <c:pt idx="7">
                  <c:v>3514.95</c:v>
                </c:pt>
                <c:pt idx="8">
                  <c:v>4017.886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37672"/>
        <c:axId val="522640024"/>
      </c:barChart>
      <c:lineChart>
        <c:grouping val="standard"/>
        <c:varyColors val="0"/>
        <c:ser>
          <c:idx val="1"/>
          <c:order val="1"/>
          <c:tx>
            <c:strRef>
              <c:f>Endividamento!$A$35</c:f>
              <c:strCache>
                <c:ptCount val="1"/>
                <c:pt idx="0">
                  <c:v>Dívida Líquida / EBITDA Ajustado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Endividamento!$C$35:$K$35</c:f>
              <c:numCache>
                <c:formatCode>0.00</c:formatCode>
                <c:ptCount val="9"/>
                <c:pt idx="0">
                  <c:v>3.1176133561330297</c:v>
                </c:pt>
                <c:pt idx="1">
                  <c:v>3.2369299767571285</c:v>
                </c:pt>
                <c:pt idx="2">
                  <c:v>3.932282902152938</c:v>
                </c:pt>
                <c:pt idx="3">
                  <c:v>3.1859509541540612</c:v>
                </c:pt>
                <c:pt idx="4">
                  <c:v>2.8099168000390953</c:v>
                </c:pt>
                <c:pt idx="5">
                  <c:v>2.1714864328877068</c:v>
                </c:pt>
                <c:pt idx="6">
                  <c:v>2.1780691352903783</c:v>
                </c:pt>
                <c:pt idx="7">
                  <c:v>6.4628258119557547</c:v>
                </c:pt>
                <c:pt idx="8">
                  <c:v>2.7612173341745043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72544"/>
        <c:axId val="499478032"/>
      </c:lineChart>
      <c:catAx>
        <c:axId val="52263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40024"/>
        <c:crosses val="autoZero"/>
        <c:auto val="1"/>
        <c:lblAlgn val="ctr"/>
        <c:lblOffset val="100"/>
        <c:noMultiLvlLbl val="0"/>
      </c:catAx>
      <c:valAx>
        <c:axId val="522640024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37672"/>
        <c:crosses val="autoZero"/>
        <c:crossBetween val="between"/>
      </c:valAx>
      <c:valAx>
        <c:axId val="499478032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472544"/>
        <c:crosses val="max"/>
        <c:crossBetween val="between"/>
      </c:valAx>
      <c:catAx>
        <c:axId val="49947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9478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Depreciação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Iochpe_Trimestral_aux!$C$176:$K$176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Iochpe_Trimestral_aux!$C$177:$K$177</c:f>
              <c:numCache>
                <c:formatCode>#,##0.00</c:formatCode>
                <c:ptCount val="9"/>
                <c:pt idx="0">
                  <c:v>102515000</c:v>
                </c:pt>
                <c:pt idx="1">
                  <c:v>106911000</c:v>
                </c:pt>
                <c:pt idx="2">
                  <c:v>111385000</c:v>
                </c:pt>
                <c:pt idx="3">
                  <c:v>119472000</c:v>
                </c:pt>
                <c:pt idx="4">
                  <c:v>132517000</c:v>
                </c:pt>
                <c:pt idx="5">
                  <c:v>136197000</c:v>
                </c:pt>
                <c:pt idx="6">
                  <c:v>168675000</c:v>
                </c:pt>
                <c:pt idx="7">
                  <c:v>144857000</c:v>
                </c:pt>
                <c:pt idx="8">
                  <c:v>138439000</c:v>
                </c:pt>
              </c:numCache>
            </c:numRef>
          </c:val>
        </c:ser>
        <c:ser>
          <c:idx val="1"/>
          <c:order val="1"/>
          <c:tx>
            <c:v>EBITDA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Iochpe_Trimestral_aux!$C$176:$K$176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Iochpe_Trimestral_aux!$C$178:$K$178</c:f>
              <c:numCache>
                <c:formatCode>#,##0.00</c:formatCode>
                <c:ptCount val="9"/>
                <c:pt idx="0">
                  <c:v>304167000</c:v>
                </c:pt>
                <c:pt idx="1">
                  <c:v>333648000</c:v>
                </c:pt>
                <c:pt idx="2">
                  <c:v>215484000</c:v>
                </c:pt>
                <c:pt idx="3">
                  <c:v>204968000</c:v>
                </c:pt>
                <c:pt idx="4">
                  <c:v>-199517000</c:v>
                </c:pt>
                <c:pt idx="5">
                  <c:v>207676000</c:v>
                </c:pt>
                <c:pt idx="6">
                  <c:v>159013000</c:v>
                </c:pt>
                <c:pt idx="7">
                  <c:v>367938000</c:v>
                </c:pt>
                <c:pt idx="8">
                  <c:v>592730000</c:v>
                </c:pt>
              </c:numCache>
            </c:numRef>
          </c:val>
        </c:ser>
        <c:ser>
          <c:idx val="2"/>
          <c:order val="2"/>
          <c:tx>
            <c:strRef>
              <c:f>Iochpe_Trimestral_aux!$A$179</c:f>
              <c:strCache>
                <c:ptCount val="1"/>
                <c:pt idx="0">
                  <c:v>Resultado Financeiro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Iochpe_Trimestral_aux!$C$176:$K$176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Iochpe_Trimestral_aux!$C$179:$K$179</c:f>
              <c:numCache>
                <c:formatCode>#,##0.00</c:formatCode>
                <c:ptCount val="9"/>
                <c:pt idx="0">
                  <c:v>-49704000</c:v>
                </c:pt>
                <c:pt idx="1">
                  <c:v>-24105000</c:v>
                </c:pt>
                <c:pt idx="2">
                  <c:v>-18293000</c:v>
                </c:pt>
                <c:pt idx="3">
                  <c:v>-49580000</c:v>
                </c:pt>
                <c:pt idx="4">
                  <c:v>-84121000</c:v>
                </c:pt>
                <c:pt idx="5">
                  <c:v>-42240000</c:v>
                </c:pt>
                <c:pt idx="6">
                  <c:v>-57045000</c:v>
                </c:pt>
                <c:pt idx="7">
                  <c:v>-59042000</c:v>
                </c:pt>
                <c:pt idx="8">
                  <c:v>-68543000</c:v>
                </c:pt>
              </c:numCache>
            </c:numRef>
          </c:val>
        </c:ser>
        <c:ser>
          <c:idx val="3"/>
          <c:order val="3"/>
          <c:tx>
            <c:strRef>
              <c:f>Iochpe_Trimestral_aux!$A$180</c:f>
              <c:strCache>
                <c:ptCount val="1"/>
                <c:pt idx="0">
                  <c:v>Lucro Líquido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Iochpe_Trimestral_aux!$C$176:$K$176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Iochpe_Trimestral_aux!$C$180:$K$180</c:f>
              <c:numCache>
                <c:formatCode>#,##0.00</c:formatCode>
                <c:ptCount val="9"/>
                <c:pt idx="0">
                  <c:v>110390000</c:v>
                </c:pt>
                <c:pt idx="1">
                  <c:v>124838000</c:v>
                </c:pt>
                <c:pt idx="2">
                  <c:v>39109000</c:v>
                </c:pt>
                <c:pt idx="3">
                  <c:v>9150000</c:v>
                </c:pt>
                <c:pt idx="4">
                  <c:v>-352353000</c:v>
                </c:pt>
                <c:pt idx="5">
                  <c:v>-18877000</c:v>
                </c:pt>
                <c:pt idx="6">
                  <c:v>-129700000</c:v>
                </c:pt>
                <c:pt idx="7">
                  <c:v>51502000</c:v>
                </c:pt>
                <c:pt idx="8">
                  <c:v>214787000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30600"/>
        <c:axId val="189631776"/>
      </c:barChart>
      <c:catAx>
        <c:axId val="18963060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1776"/>
        <c:crosses val="autoZero"/>
        <c:auto val="1"/>
        <c:lblAlgn val="ctr"/>
        <c:lblOffset val="0"/>
        <c:noMultiLvlLbl val="0"/>
      </c:catAx>
      <c:valAx>
        <c:axId val="189631776"/>
        <c:scaling>
          <c:orientation val="minMax"/>
          <c:max val="1100000000"/>
          <c:min val="-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0600"/>
        <c:crosses val="autoZero"/>
        <c:crossBetween val="between"/>
        <c:majorUnit val="1000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de Endividamento</a:t>
            </a:r>
          </a:p>
        </c:rich>
      </c:tx>
      <c:layout>
        <c:manualLayout>
          <c:xMode val="edge"/>
          <c:yMode val="edge"/>
          <c:x val="0.2755349698934692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Iochpe_Trimestral_aux!$A$65</c:f>
              <c:strCache>
                <c:ptCount val="1"/>
                <c:pt idx="0">
                  <c:v>Endividamento Geral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Iochpe_Trimestral_aux!$B$4:$K$4</c:f>
              <c:strCache>
                <c:ptCount val="10"/>
                <c:pt idx="0">
                  <c:v>2019 1T</c:v>
                </c:pt>
                <c:pt idx="1">
                  <c:v>2019 2T</c:v>
                </c:pt>
                <c:pt idx="2">
                  <c:v>2019 3T</c:v>
                </c:pt>
                <c:pt idx="3">
                  <c:v>2019 4T</c:v>
                </c:pt>
                <c:pt idx="4">
                  <c:v>2020 1T</c:v>
                </c:pt>
                <c:pt idx="5">
                  <c:v>2020 2T</c:v>
                </c:pt>
                <c:pt idx="6">
                  <c:v>2020 3T</c:v>
                </c:pt>
                <c:pt idx="7">
                  <c:v>2020 4T</c:v>
                </c:pt>
                <c:pt idx="8">
                  <c:v>2021 1T</c:v>
                </c:pt>
                <c:pt idx="9">
                  <c:v>2021 2T</c:v>
                </c:pt>
              </c:strCache>
            </c:strRef>
          </c:cat>
          <c:val>
            <c:numRef>
              <c:f>Iochpe_Trimestral_aux!$B$65:$K$65</c:f>
              <c:numCache>
                <c:formatCode>0.0%</c:formatCode>
                <c:ptCount val="10"/>
                <c:pt idx="0">
                  <c:v>0.65951426795123758</c:v>
                </c:pt>
                <c:pt idx="1">
                  <c:v>0.63947665575012858</c:v>
                </c:pt>
                <c:pt idx="2">
                  <c:v>0.63817800404588665</c:v>
                </c:pt>
                <c:pt idx="3">
                  <c:v>0.62700557874209462</c:v>
                </c:pt>
                <c:pt idx="4">
                  <c:v>0.64288599549191749</c:v>
                </c:pt>
                <c:pt idx="5">
                  <c:v>0.65989956600695876</c:v>
                </c:pt>
                <c:pt idx="6">
                  <c:v>0.68058245711123411</c:v>
                </c:pt>
                <c:pt idx="7">
                  <c:v>0.69361735760710996</c:v>
                </c:pt>
                <c:pt idx="8">
                  <c:v>0.69605490149889049</c:v>
                </c:pt>
                <c:pt idx="9">
                  <c:v>0.70513436133057261</c:v>
                </c:pt>
              </c:numCache>
            </c:numRef>
          </c:val>
        </c:ser>
        <c:ser>
          <c:idx val="1"/>
          <c:order val="1"/>
          <c:tx>
            <c:strRef>
              <c:f>Iochpe_Trimestral_aux!$A$66</c:f>
              <c:strCache>
                <c:ptCount val="1"/>
                <c:pt idx="0">
                  <c:v>Endividamento de Curto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Iochpe_Trimestral_aux!$B$4:$K$4</c:f>
              <c:strCache>
                <c:ptCount val="10"/>
                <c:pt idx="0">
                  <c:v>2019 1T</c:v>
                </c:pt>
                <c:pt idx="1">
                  <c:v>2019 2T</c:v>
                </c:pt>
                <c:pt idx="2">
                  <c:v>2019 3T</c:v>
                </c:pt>
                <c:pt idx="3">
                  <c:v>2019 4T</c:v>
                </c:pt>
                <c:pt idx="4">
                  <c:v>2020 1T</c:v>
                </c:pt>
                <c:pt idx="5">
                  <c:v>2020 2T</c:v>
                </c:pt>
                <c:pt idx="6">
                  <c:v>2020 3T</c:v>
                </c:pt>
                <c:pt idx="7">
                  <c:v>2020 4T</c:v>
                </c:pt>
                <c:pt idx="8">
                  <c:v>2021 1T</c:v>
                </c:pt>
                <c:pt idx="9">
                  <c:v>2021 2T</c:v>
                </c:pt>
              </c:strCache>
            </c:strRef>
          </c:cat>
          <c:val>
            <c:numRef>
              <c:f>Iochpe_Trimestral_aux!$B$66:$K$66</c:f>
              <c:numCache>
                <c:formatCode>0.0%</c:formatCode>
                <c:ptCount val="10"/>
                <c:pt idx="0">
                  <c:v>0.32832606455220009</c:v>
                </c:pt>
                <c:pt idx="1">
                  <c:v>0.30888981514060682</c:v>
                </c:pt>
                <c:pt idx="2">
                  <c:v>0.29087729888426322</c:v>
                </c:pt>
                <c:pt idx="3">
                  <c:v>0.27557383884290515</c:v>
                </c:pt>
                <c:pt idx="4">
                  <c:v>0.31528865698623482</c:v>
                </c:pt>
                <c:pt idx="5">
                  <c:v>0.30293778805233884</c:v>
                </c:pt>
                <c:pt idx="6">
                  <c:v>0.36071442845723423</c:v>
                </c:pt>
                <c:pt idx="7">
                  <c:v>0.35067032565695733</c:v>
                </c:pt>
                <c:pt idx="8">
                  <c:v>0.44970500061821395</c:v>
                </c:pt>
                <c:pt idx="9">
                  <c:v>0.36216589546929179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2968"/>
        <c:axId val="190841792"/>
      </c:areaChart>
      <c:catAx>
        <c:axId val="1908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41792"/>
        <c:crosses val="autoZero"/>
        <c:auto val="1"/>
        <c:lblAlgn val="ctr"/>
        <c:lblOffset val="100"/>
        <c:noMultiLvlLbl val="0"/>
      </c:catAx>
      <c:valAx>
        <c:axId val="1908417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Patrimônio Líquido Consolidado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Iochpe_Trimestral_aux!$B$4:$K$4</c:f>
              <c:strCache>
                <c:ptCount val="10"/>
                <c:pt idx="0">
                  <c:v>2019 1T</c:v>
                </c:pt>
                <c:pt idx="1">
                  <c:v>2019 2T</c:v>
                </c:pt>
                <c:pt idx="2">
                  <c:v>2019 3T</c:v>
                </c:pt>
                <c:pt idx="3">
                  <c:v>2019 4T</c:v>
                </c:pt>
                <c:pt idx="4">
                  <c:v>2020 1T</c:v>
                </c:pt>
                <c:pt idx="5">
                  <c:v>2020 2T</c:v>
                </c:pt>
                <c:pt idx="6">
                  <c:v>2020 3T</c:v>
                </c:pt>
                <c:pt idx="7">
                  <c:v>2020 4T</c:v>
                </c:pt>
                <c:pt idx="8">
                  <c:v>2021 1T</c:v>
                </c:pt>
                <c:pt idx="9">
                  <c:v>2021 2T</c:v>
                </c:pt>
              </c:strCache>
            </c:strRef>
          </c:cat>
          <c:val>
            <c:numRef>
              <c:f>Iochpe_Trimestral_aux!$B$59:$K$59</c:f>
              <c:numCache>
                <c:formatCode>#,##0_ ;[Red]\-#,##0\ </c:formatCode>
                <c:ptCount val="10"/>
                <c:pt idx="0">
                  <c:v>3214234000</c:v>
                </c:pt>
                <c:pt idx="1">
                  <c:v>3330064000</c:v>
                </c:pt>
                <c:pt idx="2">
                  <c:v>3626370000</c:v>
                </c:pt>
                <c:pt idx="3">
                  <c:v>3496976000</c:v>
                </c:pt>
                <c:pt idx="4">
                  <c:v>4184368000</c:v>
                </c:pt>
                <c:pt idx="5">
                  <c:v>4044674000</c:v>
                </c:pt>
                <c:pt idx="6">
                  <c:v>4155750000</c:v>
                </c:pt>
                <c:pt idx="7">
                  <c:v>3802761000</c:v>
                </c:pt>
                <c:pt idx="8">
                  <c:v>4149529000</c:v>
                </c:pt>
                <c:pt idx="9">
                  <c:v>3893193000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48064"/>
        <c:axId val="190846496"/>
      </c:barChart>
      <c:catAx>
        <c:axId val="1908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46496"/>
        <c:crosses val="autoZero"/>
        <c:auto val="1"/>
        <c:lblAlgn val="ctr"/>
        <c:lblOffset val="100"/>
        <c:noMultiLvlLbl val="0"/>
      </c:catAx>
      <c:valAx>
        <c:axId val="190846496"/>
        <c:scaling>
          <c:orientation val="minMax"/>
          <c:min val="-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4806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de Endividamento</a:t>
            </a:r>
          </a:p>
        </c:rich>
      </c:tx>
      <c:layout>
        <c:manualLayout>
          <c:xMode val="edge"/>
          <c:yMode val="edge"/>
          <c:x val="0.2755349698934692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Iochpe_Anual_e_2_Tri!$A$65</c:f>
              <c:strCache>
                <c:ptCount val="1"/>
                <c:pt idx="0">
                  <c:v>Endividamento Geral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Iochpe_Anual_e_2_Tri!$B$4:$K$4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2º Tri</c:v>
                </c:pt>
              </c:strCache>
            </c:strRef>
          </c:cat>
          <c:val>
            <c:numRef>
              <c:f>Iochpe_Anual_e_2_Tri!$B$65:$K$65</c:f>
              <c:numCache>
                <c:formatCode>0.0%</c:formatCode>
                <c:ptCount val="10"/>
                <c:pt idx="0">
                  <c:v>0.81144334312433908</c:v>
                </c:pt>
                <c:pt idx="1">
                  <c:v>0.7605648387388052</c:v>
                </c:pt>
                <c:pt idx="2">
                  <c:v>0.74487249531882849</c:v>
                </c:pt>
                <c:pt idx="3">
                  <c:v>0.69256902582468238</c:v>
                </c:pt>
                <c:pt idx="4">
                  <c:v>0.71417824422586285</c:v>
                </c:pt>
                <c:pt idx="5">
                  <c:v>0.66795977606356172</c:v>
                </c:pt>
                <c:pt idx="6">
                  <c:v>0.64536427328839951</c:v>
                </c:pt>
                <c:pt idx="7">
                  <c:v>0.62700557874209462</c:v>
                </c:pt>
                <c:pt idx="8">
                  <c:v>0.69361735760710996</c:v>
                </c:pt>
                <c:pt idx="9">
                  <c:v>0.70513436133057261</c:v>
                </c:pt>
              </c:numCache>
            </c:numRef>
          </c:val>
        </c:ser>
        <c:ser>
          <c:idx val="1"/>
          <c:order val="1"/>
          <c:tx>
            <c:strRef>
              <c:f>Iochpe_Anual_e_2_Tri!$A$66</c:f>
              <c:strCache>
                <c:ptCount val="1"/>
                <c:pt idx="0">
                  <c:v>Endividamento de Curto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Iochpe_Anual_e_2_Tri!$B$4:$K$4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2º Tri</c:v>
                </c:pt>
              </c:strCache>
            </c:strRef>
          </c:cat>
          <c:val>
            <c:numRef>
              <c:f>Iochpe_Anual_e_2_Tri!$B$66:$K$66</c:f>
              <c:numCache>
                <c:formatCode>0.0%</c:formatCode>
                <c:ptCount val="10"/>
                <c:pt idx="0">
                  <c:v>0.31262922209036187</c:v>
                </c:pt>
                <c:pt idx="1">
                  <c:v>0.30388347343019578</c:v>
                </c:pt>
                <c:pt idx="2">
                  <c:v>0.35582659566889868</c:v>
                </c:pt>
                <c:pt idx="3">
                  <c:v>0.38655863507851129</c:v>
                </c:pt>
                <c:pt idx="4">
                  <c:v>0.35733001375207857</c:v>
                </c:pt>
                <c:pt idx="5">
                  <c:v>0.38636180033747997</c:v>
                </c:pt>
                <c:pt idx="6">
                  <c:v>0.3616543170728192</c:v>
                </c:pt>
                <c:pt idx="7">
                  <c:v>0.27557383884290515</c:v>
                </c:pt>
                <c:pt idx="8">
                  <c:v>0.35067032565695733</c:v>
                </c:pt>
                <c:pt idx="9">
                  <c:v>0.36216589546929179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8176"/>
        <c:axId val="137869352"/>
      </c:areaChart>
      <c:catAx>
        <c:axId val="13786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9352"/>
        <c:crosses val="autoZero"/>
        <c:auto val="1"/>
        <c:lblAlgn val="ctr"/>
        <c:lblOffset val="100"/>
        <c:noMultiLvlLbl val="0"/>
      </c:catAx>
      <c:valAx>
        <c:axId val="137869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Patrimônio Líquido Consolidado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Iochpe_Anual_e_2_Tri!$B$4:$K$4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2º Tri</c:v>
                </c:pt>
              </c:strCache>
            </c:strRef>
          </c:cat>
          <c:val>
            <c:numRef>
              <c:f>Iochpe_Anual_e_2_Tri!$B$59:$K$59</c:f>
              <c:numCache>
                <c:formatCode>_-* #,##0_-;\-* #,##0_-;_-* "-"??_-;_-@_-</c:formatCode>
                <c:ptCount val="10"/>
                <c:pt idx="0">
                  <c:v>1090910000</c:v>
                </c:pt>
                <c:pt idx="1">
                  <c:v>1445160000</c:v>
                </c:pt>
                <c:pt idx="2">
                  <c:v>1604503000</c:v>
                </c:pt>
                <c:pt idx="3">
                  <c:v>2456490000</c:v>
                </c:pt>
                <c:pt idx="4">
                  <c:v>2017077000</c:v>
                </c:pt>
                <c:pt idx="5">
                  <c:v>2630505000</c:v>
                </c:pt>
                <c:pt idx="6">
                  <c:v>3198527000</c:v>
                </c:pt>
                <c:pt idx="7">
                  <c:v>3496976000</c:v>
                </c:pt>
                <c:pt idx="8">
                  <c:v>3802761000</c:v>
                </c:pt>
                <c:pt idx="9">
                  <c:v>3893193000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69744"/>
        <c:axId val="137868568"/>
      </c:barChart>
      <c:catAx>
        <c:axId val="1378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8568"/>
        <c:crosses val="autoZero"/>
        <c:auto val="1"/>
        <c:lblAlgn val="ctr"/>
        <c:lblOffset val="100"/>
        <c:noMultiLvlLbl val="0"/>
      </c:catAx>
      <c:valAx>
        <c:axId val="137868568"/>
        <c:scaling>
          <c:orientation val="minMax"/>
          <c:min val="-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974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ROL - Evolução por Produto (R$ Milhão)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Iochpe_Anual_e_2_Tri!$A$249</c:f>
              <c:strCache>
                <c:ptCount val="1"/>
                <c:pt idx="0">
                  <c:v>  Rodas Alumínio (Veículos Leves)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Iochpe_Anual_e_2_Tri!$M$249:$V$249</c:f>
              <c:numCache>
                <c:formatCode>#,##0.00</c:formatCode>
                <c:ptCount val="10"/>
                <c:pt idx="0">
                  <c:v>1111.135</c:v>
                </c:pt>
                <c:pt idx="1">
                  <c:v>1347.681</c:v>
                </c:pt>
                <c:pt idx="2">
                  <c:v>1342.3620000000001</c:v>
                </c:pt>
                <c:pt idx="3">
                  <c:v>2021.7090000000001</c:v>
                </c:pt>
                <c:pt idx="4">
                  <c:v>2228.3519999999999</c:v>
                </c:pt>
                <c:pt idx="5">
                  <c:v>2463.971</c:v>
                </c:pt>
                <c:pt idx="6">
                  <c:v>3229.6770000000001</c:v>
                </c:pt>
                <c:pt idx="7">
                  <c:v>3289.62</c:v>
                </c:pt>
                <c:pt idx="8">
                  <c:v>2863.79</c:v>
                </c:pt>
                <c:pt idx="9">
                  <c:v>3701.8449999999998</c:v>
                </c:pt>
              </c:numCache>
            </c:numRef>
          </c:val>
        </c:ser>
        <c:ser>
          <c:idx val="1"/>
          <c:order val="1"/>
          <c:tx>
            <c:strRef>
              <c:f>Iochpe_Anual_e_2_Tri!$A$250</c:f>
              <c:strCache>
                <c:ptCount val="1"/>
                <c:pt idx="0">
                  <c:v>  Rodas Aço (Veículos Leves)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Iochpe_Anual_e_2_Tri!$M$250:$V$250</c:f>
              <c:numCache>
                <c:formatCode>#,##0.00</c:formatCode>
                <c:ptCount val="10"/>
                <c:pt idx="0">
                  <c:v>1778.13</c:v>
                </c:pt>
                <c:pt idx="1">
                  <c:v>1886.2260000000001</c:v>
                </c:pt>
                <c:pt idx="2">
                  <c:v>1904.7550000000001</c:v>
                </c:pt>
                <c:pt idx="3">
                  <c:v>2279.7049999999999</c:v>
                </c:pt>
                <c:pt idx="4">
                  <c:v>2236.335</c:v>
                </c:pt>
                <c:pt idx="5">
                  <c:v>2265.3209999999999</c:v>
                </c:pt>
                <c:pt idx="6">
                  <c:v>2613.895</c:v>
                </c:pt>
                <c:pt idx="7">
                  <c:v>2567.0259999999998</c:v>
                </c:pt>
                <c:pt idx="8">
                  <c:v>2426.0650000000001</c:v>
                </c:pt>
                <c:pt idx="9">
                  <c:v>3039.0430000000001</c:v>
                </c:pt>
              </c:numCache>
            </c:numRef>
          </c:val>
        </c:ser>
        <c:ser>
          <c:idx val="2"/>
          <c:order val="2"/>
          <c:tx>
            <c:strRef>
              <c:f>Iochpe_Anual_e_2_Tri!$A$251</c:f>
              <c:strCache>
                <c:ptCount val="1"/>
                <c:pt idx="0">
                  <c:v>  Rodas Aço (Veículos Comerciais)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Iochpe_Anual_e_2_Tri!$M$251:$V$251</c:f>
              <c:numCache>
                <c:formatCode>#,##0.00</c:formatCode>
                <c:ptCount val="10"/>
                <c:pt idx="0">
                  <c:v>1118.4059999999999</c:v>
                </c:pt>
                <c:pt idx="1">
                  <c:v>1448.799</c:v>
                </c:pt>
                <c:pt idx="2">
                  <c:v>1343.027</c:v>
                </c:pt>
                <c:pt idx="3">
                  <c:v>1298.768</c:v>
                </c:pt>
                <c:pt idx="4">
                  <c:v>1294.9570000000001</c:v>
                </c:pt>
                <c:pt idx="5">
                  <c:v>1451.7439999999999</c:v>
                </c:pt>
                <c:pt idx="6">
                  <c:v>1933.242</c:v>
                </c:pt>
                <c:pt idx="7">
                  <c:v>1949.95</c:v>
                </c:pt>
                <c:pt idx="8">
                  <c:v>1812.8</c:v>
                </c:pt>
                <c:pt idx="9">
                  <c:v>2563.92</c:v>
                </c:pt>
              </c:numCache>
            </c:numRef>
          </c:val>
        </c:ser>
        <c:ser>
          <c:idx val="3"/>
          <c:order val="3"/>
          <c:tx>
            <c:strRef>
              <c:f>Iochpe_Anual_e_2_Tri!$A$252</c:f>
              <c:strCache>
                <c:ptCount val="1"/>
                <c:pt idx="0">
                  <c:v>  Componentes Estruturais (Veículos Leves)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Iochpe_Anual_e_2_Tri!$M$252:$V$252</c:f>
              <c:numCache>
                <c:formatCode>#,##0.00</c:formatCode>
                <c:ptCount val="10"/>
                <c:pt idx="0">
                  <c:v>197.03849445887855</c:v>
                </c:pt>
                <c:pt idx="1">
                  <c:v>227.29</c:v>
                </c:pt>
                <c:pt idx="2">
                  <c:v>206.09399999999999</c:v>
                </c:pt>
                <c:pt idx="3">
                  <c:v>152.23099999999999</c:v>
                </c:pt>
                <c:pt idx="4">
                  <c:v>142.529</c:v>
                </c:pt>
                <c:pt idx="5">
                  <c:v>165.78200000000001</c:v>
                </c:pt>
                <c:pt idx="6">
                  <c:v>165.893</c:v>
                </c:pt>
                <c:pt idx="7">
                  <c:v>193.01300000000001</c:v>
                </c:pt>
                <c:pt idx="8">
                  <c:v>166.97900000000001</c:v>
                </c:pt>
                <c:pt idx="9">
                  <c:v>268.19799999999998</c:v>
                </c:pt>
              </c:numCache>
            </c:numRef>
          </c:val>
        </c:ser>
        <c:ser>
          <c:idx val="4"/>
          <c:order val="4"/>
          <c:tx>
            <c:strRef>
              <c:f>Iochpe_Anual_e_2_Tri!$A$253</c:f>
              <c:strCache>
                <c:ptCount val="1"/>
                <c:pt idx="0">
                  <c:v>  Componentes Estruturais (Veículos Comerciais)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Iochpe_Anual_e_2_Tri!$M$253:$V$253</c:f>
              <c:numCache>
                <c:formatCode>#,##0.00</c:formatCode>
                <c:ptCount val="10"/>
                <c:pt idx="0">
                  <c:v>1116.0475055411214</c:v>
                </c:pt>
                <c:pt idx="1">
                  <c:v>1216.4970000000001</c:v>
                </c:pt>
                <c:pt idx="2">
                  <c:v>1115.4390000000001</c:v>
                </c:pt>
                <c:pt idx="3">
                  <c:v>1094.0450000000001</c:v>
                </c:pt>
                <c:pt idx="4">
                  <c:v>914.28200000000004</c:v>
                </c:pt>
                <c:pt idx="5">
                  <c:v>1141.123</c:v>
                </c:pt>
                <c:pt idx="6">
                  <c:v>1673.5909999999999</c:v>
                </c:pt>
                <c:pt idx="7">
                  <c:v>2016.7840000000001</c:v>
                </c:pt>
                <c:pt idx="8">
                  <c:v>1490.932</c:v>
                </c:pt>
                <c:pt idx="9">
                  <c:v>2108.1350000000002</c:v>
                </c:pt>
              </c:numCache>
            </c:numRef>
          </c:val>
        </c:ser>
        <c:ser>
          <c:idx val="5"/>
          <c:order val="5"/>
          <c:tx>
            <c:strRef>
              <c:f>Iochpe_Anual_e_2_Tri!$A$254</c:f>
              <c:strCache>
                <c:ptCount val="1"/>
                <c:pt idx="0">
                  <c:v>  Ferroviário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Iochpe_Anual_e_2_Tri!$M$254:$V$254</c:f>
              <c:numCache>
                <c:formatCode>#,##0.00</c:formatCode>
                <c:ptCount val="10"/>
                <c:pt idx="0">
                  <c:v>377.75799999999998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Iochpe_Anual_e_2_Tri!$A$248</c:f>
              <c:strCache>
                <c:ptCount val="1"/>
                <c:pt idx="0">
                  <c:v>Receita Operacional Líquida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Iochpe_Anual_e_2_Tri!$M$248:$V$248</c:f>
              <c:numCache>
                <c:formatCode>#,##0.00</c:formatCode>
                <c:ptCount val="10"/>
                <c:pt idx="0">
                  <c:v>5698.5150000000003</c:v>
                </c:pt>
                <c:pt idx="1">
                  <c:v>6126.4930000000004</c:v>
                </c:pt>
                <c:pt idx="2">
                  <c:v>5911.6769999999997</c:v>
                </c:pt>
                <c:pt idx="3">
                  <c:v>6846.4579999999996</c:v>
                </c:pt>
                <c:pt idx="4">
                  <c:v>6816.4549999999999</c:v>
                </c:pt>
                <c:pt idx="5">
                  <c:v>7487.9409999999998</c:v>
                </c:pt>
                <c:pt idx="6">
                  <c:v>9616.2980000000007</c:v>
                </c:pt>
                <c:pt idx="7">
                  <c:v>10016.393</c:v>
                </c:pt>
                <c:pt idx="8">
                  <c:v>8760.5660000000007</c:v>
                </c:pt>
                <c:pt idx="9">
                  <c:v>11681.141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34520"/>
        <c:axId val="189627464"/>
      </c:barChart>
      <c:catAx>
        <c:axId val="18963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27464"/>
        <c:crosses val="autoZero"/>
        <c:auto val="1"/>
        <c:lblAlgn val="ctr"/>
        <c:lblOffset val="100"/>
        <c:noMultiLvlLbl val="0"/>
      </c:catAx>
      <c:valAx>
        <c:axId val="189627464"/>
        <c:scaling>
          <c:orientation val="minMax"/>
          <c:max val="12000"/>
        </c:scaling>
        <c:delete val="1"/>
        <c:axPos val="l"/>
        <c:numFmt formatCode="#,##0.00" sourceLinked="1"/>
        <c:majorTickMark val="none"/>
        <c:minorTickMark val="none"/>
        <c:tickLblPos val="nextTo"/>
        <c:crossAx val="189634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ROL - Evolução por Região (R$ Milhão)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Iochpe_Anual_e_2_Tri!$A$259</c:f>
              <c:strCache>
                <c:ptCount val="1"/>
                <c:pt idx="0">
                  <c:v>  América do Sul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Iochpe_Anual_e_2_Tri!$M$259:$V$259</c:f>
              <c:numCache>
                <c:formatCode>#,##0.00</c:formatCode>
                <c:ptCount val="10"/>
                <c:pt idx="0">
                  <c:v>2325.9830000000002</c:v>
                </c:pt>
                <c:pt idx="1">
                  <c:v>2364.194</c:v>
                </c:pt>
                <c:pt idx="2">
                  <c:v>1911.5170000000001</c:v>
                </c:pt>
                <c:pt idx="3">
                  <c:v>1350.617</c:v>
                </c:pt>
                <c:pt idx="4">
                  <c:v>1400.2560000000001</c:v>
                </c:pt>
                <c:pt idx="5">
                  <c:v>1831.326</c:v>
                </c:pt>
                <c:pt idx="6">
                  <c:v>2369.4499999999998</c:v>
                </c:pt>
                <c:pt idx="7">
                  <c:v>2680.9160000000002</c:v>
                </c:pt>
                <c:pt idx="8">
                  <c:v>1935.0640000000001</c:v>
                </c:pt>
                <c:pt idx="9">
                  <c:v>2962.8719999999998</c:v>
                </c:pt>
              </c:numCache>
            </c:numRef>
          </c:val>
        </c:ser>
        <c:ser>
          <c:idx val="1"/>
          <c:order val="1"/>
          <c:tx>
            <c:strRef>
              <c:f>Iochpe_Anual_e_2_Tri!$A$260</c:f>
              <c:strCache>
                <c:ptCount val="1"/>
                <c:pt idx="0">
                  <c:v>  América do 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Iochpe_Anual_e_2_Tri!$M$260:$V$260</c:f>
              <c:numCache>
                <c:formatCode>#,##0.00</c:formatCode>
                <c:ptCount val="10"/>
                <c:pt idx="0">
                  <c:v>1363.8330000000001</c:v>
                </c:pt>
                <c:pt idx="1">
                  <c:v>1466.058</c:v>
                </c:pt>
                <c:pt idx="2">
                  <c:v>1695.0630000000001</c:v>
                </c:pt>
                <c:pt idx="3">
                  <c:v>2346.261</c:v>
                </c:pt>
                <c:pt idx="4">
                  <c:v>2144.37</c:v>
                </c:pt>
                <c:pt idx="5">
                  <c:v>2127.0839999999998</c:v>
                </c:pt>
                <c:pt idx="6">
                  <c:v>2812.0509999999999</c:v>
                </c:pt>
                <c:pt idx="7">
                  <c:v>3042.806</c:v>
                </c:pt>
                <c:pt idx="8">
                  <c:v>2602.0189999999998</c:v>
                </c:pt>
                <c:pt idx="9">
                  <c:v>3303.855</c:v>
                </c:pt>
              </c:numCache>
            </c:numRef>
          </c:val>
        </c:ser>
        <c:ser>
          <c:idx val="2"/>
          <c:order val="2"/>
          <c:tx>
            <c:strRef>
              <c:f>Iochpe_Anual_e_2_Tri!$A$261</c:f>
              <c:strCache>
                <c:ptCount val="1"/>
                <c:pt idx="0">
                  <c:v>  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Iochpe_Anual_e_2_Tri!$M$261:$V$261</c:f>
              <c:numCache>
                <c:formatCode>#,##0.00</c:formatCode>
                <c:ptCount val="10"/>
                <c:pt idx="0">
                  <c:v>1594.8489999999999</c:v>
                </c:pt>
                <c:pt idx="1">
                  <c:v>1892.5260000000001</c:v>
                </c:pt>
                <c:pt idx="2">
                  <c:v>1944.135</c:v>
                </c:pt>
                <c:pt idx="3">
                  <c:v>2587.779</c:v>
                </c:pt>
                <c:pt idx="4">
                  <c:v>2717.4090000000001</c:v>
                </c:pt>
                <c:pt idx="5">
                  <c:v>2872.248</c:v>
                </c:pt>
                <c:pt idx="6">
                  <c:v>3512.9389999999999</c:v>
                </c:pt>
                <c:pt idx="7">
                  <c:v>3385.71</c:v>
                </c:pt>
                <c:pt idx="8">
                  <c:v>3441.4430000000002</c:v>
                </c:pt>
                <c:pt idx="9">
                  <c:v>4207.1040000000003</c:v>
                </c:pt>
              </c:numCache>
            </c:numRef>
          </c:val>
        </c:ser>
        <c:ser>
          <c:idx val="3"/>
          <c:order val="3"/>
          <c:tx>
            <c:strRef>
              <c:f>Iochpe_Anual_e_2_Tri!$A$262</c:f>
              <c:strCache>
                <c:ptCount val="1"/>
                <c:pt idx="0">
                  <c:v>  Ásia + Outros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Iochpe_Anual_e_2_Tri!$M$4:$V$4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2021 - 2 Tri</c:v>
                </c:pt>
              </c:strCache>
            </c:strRef>
          </c:cat>
          <c:val>
            <c:numRef>
              <c:f>Iochpe_Anual_e_2_Tri!$M$262:$V$262</c:f>
              <c:numCache>
                <c:formatCode>#,##0.00</c:formatCode>
                <c:ptCount val="10"/>
                <c:pt idx="0">
                  <c:v>413.85</c:v>
                </c:pt>
                <c:pt idx="1">
                  <c:v>403.71499999999997</c:v>
                </c:pt>
                <c:pt idx="2">
                  <c:v>360.96199999999999</c:v>
                </c:pt>
                <c:pt idx="3">
                  <c:v>561.80100000000004</c:v>
                </c:pt>
                <c:pt idx="4">
                  <c:v>554.41999999999996</c:v>
                </c:pt>
                <c:pt idx="5">
                  <c:v>657.28300000000002</c:v>
                </c:pt>
                <c:pt idx="6">
                  <c:v>921.85799999999995</c:v>
                </c:pt>
                <c:pt idx="7">
                  <c:v>906.96100000000001</c:v>
                </c:pt>
                <c:pt idx="8">
                  <c:v>782.04</c:v>
                </c:pt>
                <c:pt idx="9">
                  <c:v>1207.31</c:v>
                </c:pt>
              </c:numCache>
            </c:numRef>
          </c:val>
        </c:ser>
        <c:ser>
          <c:idx val="4"/>
          <c:order val="4"/>
          <c:tx>
            <c:strRef>
              <c:f>Iochpe_Anual_e_2_Tri!$A$258</c:f>
              <c:strCache>
                <c:ptCount val="1"/>
                <c:pt idx="0">
                  <c:v>Receita Operacional Líquida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36000" rIns="3810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Iochpe_Anual_e_2_Tri!$M$258:$V$258</c:f>
              <c:numCache>
                <c:formatCode>#,##0.00</c:formatCode>
                <c:ptCount val="10"/>
                <c:pt idx="0">
                  <c:v>5698.5150000000003</c:v>
                </c:pt>
                <c:pt idx="1">
                  <c:v>6126.4930000000004</c:v>
                </c:pt>
                <c:pt idx="2">
                  <c:v>5911.6769999999997</c:v>
                </c:pt>
                <c:pt idx="3">
                  <c:v>6846.4579999999996</c:v>
                </c:pt>
                <c:pt idx="4">
                  <c:v>6816.4549999999999</c:v>
                </c:pt>
                <c:pt idx="5">
                  <c:v>7487.9409999999998</c:v>
                </c:pt>
                <c:pt idx="6">
                  <c:v>9616.2980000000007</c:v>
                </c:pt>
                <c:pt idx="7">
                  <c:v>10016.393</c:v>
                </c:pt>
                <c:pt idx="8">
                  <c:v>8760.5660000000007</c:v>
                </c:pt>
                <c:pt idx="9">
                  <c:v>11681.141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27856"/>
        <c:axId val="189633344"/>
      </c:barChart>
      <c:catAx>
        <c:axId val="1896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3344"/>
        <c:crosses val="autoZero"/>
        <c:auto val="1"/>
        <c:lblAlgn val="ctr"/>
        <c:lblOffset val="100"/>
        <c:noMultiLvlLbl val="0"/>
      </c:catAx>
      <c:valAx>
        <c:axId val="189633344"/>
        <c:scaling>
          <c:orientation val="minMax"/>
          <c:max val="12000"/>
        </c:scaling>
        <c:delete val="1"/>
        <c:axPos val="l"/>
        <c:numFmt formatCode="#,##0.00" sourceLinked="1"/>
        <c:majorTickMark val="none"/>
        <c:minorTickMark val="none"/>
        <c:tickLblPos val="nextTo"/>
        <c:crossAx val="1896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Iochpe_Anual_e_2_Tri!$M$310</c:f>
              <c:strCache>
                <c:ptCount val="1"/>
                <c:pt idx="0">
                  <c:v>Fluxo das Operações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Iochpe_Anual_e_2_Tri!$N$309:$V$309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Iochpe_Anual_e_2_Tri!$N$310:$V$310</c:f>
              <c:numCache>
                <c:formatCode>#,##0_ ;[Red]\-#,##0\ </c:formatCode>
                <c:ptCount val="9"/>
                <c:pt idx="0">
                  <c:v>496458</c:v>
                </c:pt>
                <c:pt idx="1">
                  <c:v>462824</c:v>
                </c:pt>
                <c:pt idx="2">
                  <c:v>149954</c:v>
                </c:pt>
                <c:pt idx="3">
                  <c:v>253963</c:v>
                </c:pt>
                <c:pt idx="4">
                  <c:v>303396</c:v>
                </c:pt>
                <c:pt idx="5">
                  <c:v>614720</c:v>
                </c:pt>
                <c:pt idx="6">
                  <c:v>657683</c:v>
                </c:pt>
                <c:pt idx="7">
                  <c:v>113169</c:v>
                </c:pt>
                <c:pt idx="8">
                  <c:v>422167</c:v>
                </c:pt>
              </c:numCache>
            </c:numRef>
          </c:val>
        </c:ser>
        <c:ser>
          <c:idx val="1"/>
          <c:order val="1"/>
          <c:tx>
            <c:strRef>
              <c:f>Iochpe_Anual_e_2_Tri!$M$311</c:f>
              <c:strCache>
                <c:ptCount val="1"/>
                <c:pt idx="0">
                  <c:v>Fluxo de Investimento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Iochpe_Anual_e_2_Tri!$N$309:$V$309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Iochpe_Anual_e_2_Tri!$N$311:$V$311</c:f>
              <c:numCache>
                <c:formatCode>#,##0_ ;[Red]\-#,##0\ </c:formatCode>
                <c:ptCount val="9"/>
                <c:pt idx="0">
                  <c:v>-249201</c:v>
                </c:pt>
                <c:pt idx="1">
                  <c:v>-286963</c:v>
                </c:pt>
                <c:pt idx="2">
                  <c:v>-321520</c:v>
                </c:pt>
                <c:pt idx="3">
                  <c:v>-274540</c:v>
                </c:pt>
                <c:pt idx="4">
                  <c:v>-237461</c:v>
                </c:pt>
                <c:pt idx="5">
                  <c:v>-470745</c:v>
                </c:pt>
                <c:pt idx="6">
                  <c:v>-524468</c:v>
                </c:pt>
                <c:pt idx="7">
                  <c:v>-335794</c:v>
                </c:pt>
                <c:pt idx="8">
                  <c:v>-291089</c:v>
                </c:pt>
              </c:numCache>
            </c:numRef>
          </c:val>
        </c:ser>
        <c:ser>
          <c:idx val="2"/>
          <c:order val="2"/>
          <c:tx>
            <c:strRef>
              <c:f>Iochpe_Anual_e_2_Tri!$M$312</c:f>
              <c:strCache>
                <c:ptCount val="1"/>
                <c:pt idx="0">
                  <c:v>Fluxo de Financiamento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124979720143954E-2"/>
                  <c:y val="9.2596237970253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390602185161939E-2"/>
                  <c:y val="9.25962379702545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3281123250899327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390602185161962E-2"/>
                  <c:y val="4.63035870516185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1.0124979720143966E-2"/>
                  <c:y val="1.3889253426655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7968673950538943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7.593734790107788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Iochpe_Anual_e_2_Tri!$N$309:$V$309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Iochpe_Anual_e_2_Tri!$N$312:$V$312</c:f>
              <c:numCache>
                <c:formatCode>#,##0_ ;[Red]\-#,##0\ </c:formatCode>
                <c:ptCount val="9"/>
                <c:pt idx="0">
                  <c:v>-143058</c:v>
                </c:pt>
                <c:pt idx="1">
                  <c:v>-146293</c:v>
                </c:pt>
                <c:pt idx="2">
                  <c:v>-3337</c:v>
                </c:pt>
                <c:pt idx="3">
                  <c:v>-133976</c:v>
                </c:pt>
                <c:pt idx="4">
                  <c:v>1940</c:v>
                </c:pt>
                <c:pt idx="5">
                  <c:v>-274132</c:v>
                </c:pt>
                <c:pt idx="6">
                  <c:v>-1590</c:v>
                </c:pt>
                <c:pt idx="7">
                  <c:v>969295</c:v>
                </c:pt>
                <c:pt idx="8">
                  <c:v>-53301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28640"/>
        <c:axId val="189629032"/>
      </c:barChart>
      <c:catAx>
        <c:axId val="189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29032"/>
        <c:crosses val="autoZero"/>
        <c:auto val="1"/>
        <c:lblAlgn val="ctr"/>
        <c:lblOffset val="100"/>
        <c:noMultiLvlLbl val="0"/>
      </c:catAx>
      <c:valAx>
        <c:axId val="189629032"/>
        <c:scaling>
          <c:orientation val="minMax"/>
          <c:max val="1000000"/>
          <c:min val="-600000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189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Iochpe_Anual_e_2_Tri!$A$329</c:f>
              <c:strCache>
                <c:ptCount val="1"/>
                <c:pt idx="0">
                  <c:v>Liquidez Corrente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Iochpe_Anual_e_2_Tri!$C$328:$K$328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Iochpe_Anual_e_2_Tri!$C$329:$K$329</c:f>
              <c:numCache>
                <c:formatCode>0.00</c:formatCode>
                <c:ptCount val="9"/>
                <c:pt idx="0">
                  <c:v>1.2097935229978338</c:v>
                </c:pt>
                <c:pt idx="1">
                  <c:v>1.0089940933112045</c:v>
                </c:pt>
                <c:pt idx="2">
                  <c:v>0.88315823553217321</c:v>
                </c:pt>
                <c:pt idx="3">
                  <c:v>0.93773770987171845</c:v>
                </c:pt>
                <c:pt idx="4">
                  <c:v>0.99604979525322013</c:v>
                </c:pt>
                <c:pt idx="5">
                  <c:v>1.0803147559237471</c:v>
                </c:pt>
                <c:pt idx="6">
                  <c:v>1.2995810526169116</c:v>
                </c:pt>
                <c:pt idx="7">
                  <c:v>1.1859814159883706</c:v>
                </c:pt>
                <c:pt idx="8">
                  <c:v>1.298340345022363</c:v>
                </c:pt>
              </c:numCache>
            </c:numRef>
          </c:val>
        </c:ser>
        <c:ser>
          <c:idx val="1"/>
          <c:order val="1"/>
          <c:tx>
            <c:strRef>
              <c:f>Iochpe_Anual_e_2_Tri!$A$330</c:f>
              <c:strCache>
                <c:ptCount val="1"/>
                <c:pt idx="0">
                  <c:v>Liquidez Seca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Iochpe_Anual_e_2_Tri!$C$328:$K$328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Iochpe_Anual_e_2_Tri!$C$330:$K$330</c:f>
              <c:numCache>
                <c:formatCode>0.00</c:formatCode>
                <c:ptCount val="9"/>
                <c:pt idx="0">
                  <c:v>0.86137073774187622</c:v>
                </c:pt>
                <c:pt idx="1">
                  <c:v>0.70593421580640292</c:v>
                </c:pt>
                <c:pt idx="2">
                  <c:v>0.60645568595710242</c:v>
                </c:pt>
                <c:pt idx="3">
                  <c:v>0.5947062301549062</c:v>
                </c:pt>
                <c:pt idx="4">
                  <c:v>0.6067973186568193</c:v>
                </c:pt>
                <c:pt idx="5">
                  <c:v>0.63638559838667197</c:v>
                </c:pt>
                <c:pt idx="6">
                  <c:v>0.78539126140164683</c:v>
                </c:pt>
                <c:pt idx="7">
                  <c:v>0.78425443502982572</c:v>
                </c:pt>
                <c:pt idx="8">
                  <c:v>0.78077856830211867</c:v>
                </c:pt>
              </c:numCache>
            </c:numRef>
          </c:val>
        </c:ser>
        <c:ser>
          <c:idx val="2"/>
          <c:order val="2"/>
          <c:tx>
            <c:strRef>
              <c:f>Iochpe_Anual_e_2_Tri!$A$331</c:f>
              <c:strCache>
                <c:ptCount val="1"/>
                <c:pt idx="0">
                  <c:v>Liquidez Imediata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Iochpe_Anual_e_2_Tri!$C$328:$K$328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2º Tri 2021</c:v>
                </c:pt>
              </c:strCache>
            </c:strRef>
          </c:cat>
          <c:val>
            <c:numRef>
              <c:f>Iochpe_Anual_e_2_Tri!$C$331:$K$331</c:f>
              <c:numCache>
                <c:formatCode>0.00</c:formatCode>
                <c:ptCount val="9"/>
                <c:pt idx="0">
                  <c:v>0.36105533295786441</c:v>
                </c:pt>
                <c:pt idx="1">
                  <c:v>0.32043898432479728</c:v>
                </c:pt>
                <c:pt idx="2">
                  <c:v>0.23933791987049777</c:v>
                </c:pt>
                <c:pt idx="3">
                  <c:v>0.17115269385684923</c:v>
                </c:pt>
                <c:pt idx="4">
                  <c:v>0.17750961006307389</c:v>
                </c:pt>
                <c:pt idx="5">
                  <c:v>0.14927299990281526</c:v>
                </c:pt>
                <c:pt idx="6">
                  <c:v>0.25008999008367339</c:v>
                </c:pt>
                <c:pt idx="7">
                  <c:v>0.36885860403712761</c:v>
                </c:pt>
                <c:pt idx="8">
                  <c:v>0.2834214142566665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29424"/>
        <c:axId val="189632168"/>
      </c:barChart>
      <c:catAx>
        <c:axId val="189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2168"/>
        <c:crosses val="autoZero"/>
        <c:auto val="1"/>
        <c:lblAlgn val="ctr"/>
        <c:lblOffset val="100"/>
        <c:noMultiLvlLbl val="0"/>
      </c:catAx>
      <c:valAx>
        <c:axId val="189632168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Iochpe_Anual_e_2_Tri!$A$155</c:f>
              <c:strCache>
                <c:ptCount val="1"/>
                <c:pt idx="0">
                  <c:v>Margem Bruta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Iochpe_Anual_e_2_Tri!$C$4:$K$4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Iochpe_Anual_e_2_Tri!$C$155:$K$155</c:f>
              <c:numCache>
                <c:formatCode>0.00%</c:formatCode>
                <c:ptCount val="9"/>
                <c:pt idx="0">
                  <c:v>0.14022704343251513</c:v>
                </c:pt>
                <c:pt idx="1">
                  <c:v>0.13825670786817346</c:v>
                </c:pt>
                <c:pt idx="2">
                  <c:v>0.13029047437097382</c:v>
                </c:pt>
                <c:pt idx="3">
                  <c:v>0.14256503454728808</c:v>
                </c:pt>
                <c:pt idx="4">
                  <c:v>0.15424509277585025</c:v>
                </c:pt>
                <c:pt idx="5">
                  <c:v>0.13708766751117035</c:v>
                </c:pt>
                <c:pt idx="6">
                  <c:v>0.11832780156932708</c:v>
                </c:pt>
                <c:pt idx="7">
                  <c:v>6.4529263399359493E-2</c:v>
                </c:pt>
                <c:pt idx="8">
                  <c:v>0.11537629493963047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Iochpe_Anual_e_2_Tri!$A$152</c:f>
              <c:strCache>
                <c:ptCount val="1"/>
                <c:pt idx="0">
                  <c:v>Margem Líquida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Iochpe_Anual_e_2_Tri!$C$4:$K$4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Iochpe_Anual_e_2_Tri!$C$152:$K$152</c:f>
              <c:numCache>
                <c:formatCode>0.00%</c:formatCode>
                <c:ptCount val="9"/>
                <c:pt idx="0">
                  <c:v>3.4489552179362649E-2</c:v>
                </c:pt>
                <c:pt idx="1">
                  <c:v>1.9965908150935852E-2</c:v>
                </c:pt>
                <c:pt idx="2">
                  <c:v>1.7505261116116135E-2</c:v>
                </c:pt>
                <c:pt idx="3">
                  <c:v>1.3075713560158991E-2</c:v>
                </c:pt>
                <c:pt idx="4">
                  <c:v>1.0711757839939957E-2</c:v>
                </c:pt>
                <c:pt idx="5">
                  <c:v>3.1835740548416806E-2</c:v>
                </c:pt>
                <c:pt idx="6">
                  <c:v>4.2072522100017024E-2</c:v>
                </c:pt>
                <c:pt idx="7">
                  <c:v>-4.7932280190051607E-2</c:v>
                </c:pt>
                <c:pt idx="8">
                  <c:v>1.8360360796884346E-2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Iochpe_Anual_e_2_Tri!$A$150</c:f>
              <c:strCache>
                <c:ptCount val="1"/>
                <c:pt idx="0">
                  <c:v>Margem EBITDA Ajustada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Iochpe_Anual_e_2_Tri!$C$4:$K$4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Iochpe_Anual_e_2_Tri!$C$150:$K$150</c:f>
              <c:numCache>
                <c:formatCode>0.00%</c:formatCode>
                <c:ptCount val="9"/>
                <c:pt idx="0">
                  <c:v>0.11053664796483077</c:v>
                </c:pt>
                <c:pt idx="1">
                  <c:v>0.11367907955728974</c:v>
                </c:pt>
                <c:pt idx="2">
                  <c:v>9.9382658706928084E-2</c:v>
                </c:pt>
                <c:pt idx="3">
                  <c:v>0.12103419167796042</c:v>
                </c:pt>
                <c:pt idx="4">
                  <c:v>0.10931043785073064</c:v>
                </c:pt>
                <c:pt idx="5">
                  <c:v>0.11142800364256561</c:v>
                </c:pt>
                <c:pt idx="6">
                  <c:v>0.11071697951208993</c:v>
                </c:pt>
                <c:pt idx="7">
                  <c:v>6.2081819352352498E-2</c:v>
                </c:pt>
                <c:pt idx="8">
                  <c:v>0.1245694877633122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0208"/>
        <c:axId val="189630992"/>
      </c:lineChart>
      <c:catAx>
        <c:axId val="1896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0992"/>
        <c:crosses val="autoZero"/>
        <c:auto val="1"/>
        <c:lblAlgn val="ctr"/>
        <c:lblOffset val="100"/>
        <c:noMultiLvlLbl val="0"/>
      </c:catAx>
      <c:valAx>
        <c:axId val="189630992"/>
        <c:scaling>
          <c:orientation val="minMax"/>
          <c:max val="0.16000000000000003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Indicadores!$A$25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Indicadores!$C$24:$K$24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Indicadores!$C$25:$K$25</c:f>
              <c:numCache>
                <c:formatCode>0.00%</c:formatCode>
                <c:ptCount val="9"/>
                <c:pt idx="0">
                  <c:v>0.14621218411802153</c:v>
                </c:pt>
                <c:pt idx="1">
                  <c:v>7.3562966226925097E-2</c:v>
                </c:pt>
                <c:pt idx="2">
                  <c:v>4.8788718863093272E-2</c:v>
                </c:pt>
                <c:pt idx="3">
                  <c:v>4.418770329541212E-2</c:v>
                </c:pt>
                <c:pt idx="4">
                  <c:v>3.0491863729588044E-2</c:v>
                </c:pt>
                <c:pt idx="5">
                  <c:v>9.5713433089669092E-2</c:v>
                </c:pt>
                <c:pt idx="6">
                  <c:v>0.12050840497618513</c:v>
                </c:pt>
                <c:pt idx="7">
                  <c:v>-0.11042345285438659</c:v>
                </c:pt>
                <c:pt idx="8">
                  <c:v>5.5088458239804704E-2</c:v>
                </c:pt>
              </c:numCache>
            </c:numRef>
          </c:val>
        </c:ser>
        <c:ser>
          <c:idx val="1"/>
          <c:order val="1"/>
          <c:tx>
            <c:strRef>
              <c:f>Indicadores!$A$26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Indicadores!$C$24:$K$24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Indicadores!$C$26:$K$26</c:f>
              <c:numCache>
                <c:formatCode>0.00%</c:formatCode>
                <c:ptCount val="9"/>
                <c:pt idx="0">
                  <c:v>3.5008337882649995E-2</c:v>
                </c:pt>
                <c:pt idx="1">
                  <c:v>1.8767936010420695E-2</c:v>
                </c:pt>
                <c:pt idx="2">
                  <c:v>1.499916336884646E-2</c:v>
                </c:pt>
                <c:pt idx="3">
                  <c:v>1.262980693952132E-2</c:v>
                </c:pt>
                <c:pt idx="4">
                  <c:v>1.0124525261011773E-2</c:v>
                </c:pt>
                <c:pt idx="5">
                  <c:v>3.3943402899816948E-2</c:v>
                </c:pt>
                <c:pt idx="6">
                  <c:v>4.4948962770805463E-2</c:v>
                </c:pt>
                <c:pt idx="7">
                  <c:v>-3.3831829267673683E-2</c:v>
                </c:pt>
                <c:pt idx="8">
                  <c:v>1.6243693422194096E-2</c:v>
                </c:pt>
              </c:numCache>
            </c:numRef>
          </c:val>
        </c:ser>
        <c:ser>
          <c:idx val="2"/>
          <c:order val="2"/>
          <c:tx>
            <c:strRef>
              <c:f>Indicadores!$A$27</c:f>
              <c:strCache>
                <c:ptCount val="1"/>
                <c:pt idx="0">
                  <c:v>ROIC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Indicadores!$C$24:$K$24</c:f>
              <c:strCach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 2º Tri</c:v>
                </c:pt>
              </c:strCache>
            </c:strRef>
          </c:cat>
          <c:val>
            <c:numRef>
              <c:f>Indicadores!$C$27:$K$27</c:f>
              <c:numCache>
                <c:formatCode>0.00%</c:formatCode>
                <c:ptCount val="9"/>
                <c:pt idx="0">
                  <c:v>7.0408090832050865E-2</c:v>
                </c:pt>
                <c:pt idx="1">
                  <c:v>6.2581674739347032E-2</c:v>
                </c:pt>
                <c:pt idx="2">
                  <c:v>5.074969437715534E-2</c:v>
                </c:pt>
                <c:pt idx="3">
                  <c:v>5.9840392841908924E-2</c:v>
                </c:pt>
                <c:pt idx="4">
                  <c:v>5.7793982196262222E-2</c:v>
                </c:pt>
                <c:pt idx="5">
                  <c:v>7.295006292338567E-2</c:v>
                </c:pt>
                <c:pt idx="6">
                  <c:v>6.5691067273072209E-2</c:v>
                </c:pt>
                <c:pt idx="7">
                  <c:v>-1.458066080908911E-2</c:v>
                </c:pt>
                <c:pt idx="8">
                  <c:v>5.5032540806718711E-2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62984"/>
        <c:axId val="194838608"/>
      </c:barChart>
      <c:catAx>
        <c:axId val="33306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38608"/>
        <c:crossesAt val="0"/>
        <c:auto val="1"/>
        <c:lblAlgn val="ctr"/>
        <c:lblOffset val="100"/>
        <c:noMultiLvlLbl val="0"/>
      </c:catAx>
      <c:valAx>
        <c:axId val="194838608"/>
        <c:scaling>
          <c:orientation val="minMax"/>
          <c:max val="0.15000000000000002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062984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155</xdr:row>
      <xdr:rowOff>123825</xdr:rowOff>
    </xdr:from>
    <xdr:to>
      <xdr:col>8</xdr:col>
      <xdr:colOff>1247774</xdr:colOff>
      <xdr:row>170</xdr:row>
      <xdr:rowOff>145897</xdr:rowOff>
    </xdr:to>
    <xdr:graphicFrame macro="">
      <xdr:nvGraphicFramePr>
        <xdr:cNvPr id="2" name="Gráfico 1" descr="Economática" title="Fonte: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182</xdr:row>
      <xdr:rowOff>4762</xdr:rowOff>
    </xdr:from>
    <xdr:to>
      <xdr:col>8</xdr:col>
      <xdr:colOff>1247774</xdr:colOff>
      <xdr:row>196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182</xdr:row>
      <xdr:rowOff>23812</xdr:rowOff>
    </xdr:from>
    <xdr:to>
      <xdr:col>5</xdr:col>
      <xdr:colOff>833437</xdr:colOff>
      <xdr:row>196</xdr:row>
      <xdr:rowOff>100012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742951</xdr:colOff>
      <xdr:row>227</xdr:row>
      <xdr:rowOff>9526</xdr:rowOff>
    </xdr:from>
    <xdr:to>
      <xdr:col>20</xdr:col>
      <xdr:colOff>962026</xdr:colOff>
      <xdr:row>242</xdr:row>
      <xdr:rowOff>9526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266</xdr:row>
      <xdr:rowOff>142875</xdr:rowOff>
    </xdr:from>
    <xdr:to>
      <xdr:col>20</xdr:col>
      <xdr:colOff>971550</xdr:colOff>
      <xdr:row>281</xdr:row>
      <xdr:rowOff>9524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</xdr:colOff>
      <xdr:row>312</xdr:row>
      <xdr:rowOff>166687</xdr:rowOff>
    </xdr:from>
    <xdr:to>
      <xdr:col>22</xdr:col>
      <xdr:colOff>9525</xdr:colOff>
      <xdr:row>327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</xdr:colOff>
      <xdr:row>330</xdr:row>
      <xdr:rowOff>4761</xdr:rowOff>
    </xdr:from>
    <xdr:to>
      <xdr:col>21</xdr:col>
      <xdr:colOff>1</xdr:colOff>
      <xdr:row>346</xdr:row>
      <xdr:rowOff>180974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3</xdr:row>
      <xdr:rowOff>28575</xdr:rowOff>
    </xdr:from>
    <xdr:to>
      <xdr:col>29</xdr:col>
      <xdr:colOff>28574</xdr:colOff>
      <xdr:row>19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23</xdr:row>
      <xdr:rowOff>14286</xdr:rowOff>
    </xdr:from>
    <xdr:to>
      <xdr:col>30</xdr:col>
      <xdr:colOff>0</xdr:colOff>
      <xdr:row>43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23</xdr:row>
      <xdr:rowOff>9525</xdr:rowOff>
    </xdr:from>
    <xdr:to>
      <xdr:col>29</xdr:col>
      <xdr:colOff>573600</xdr:colOff>
      <xdr:row>43</xdr:row>
      <xdr:rowOff>4764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0</xdr:row>
      <xdr:rowOff>0</xdr:rowOff>
    </xdr:from>
    <xdr:to>
      <xdr:col>30</xdr:col>
      <xdr:colOff>240225</xdr:colOff>
      <xdr:row>19</xdr:row>
      <xdr:rowOff>185739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47</xdr:row>
      <xdr:rowOff>19049</xdr:rowOff>
    </xdr:from>
    <xdr:to>
      <xdr:col>29</xdr:col>
      <xdr:colOff>297375</xdr:colOff>
      <xdr:row>67</xdr:row>
      <xdr:rowOff>14288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3</xdr:row>
      <xdr:rowOff>14286</xdr:rowOff>
    </xdr:from>
    <xdr:to>
      <xdr:col>29</xdr:col>
      <xdr:colOff>609599</xdr:colOff>
      <xdr:row>23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28</xdr:row>
      <xdr:rowOff>4762</xdr:rowOff>
    </xdr:from>
    <xdr:to>
      <xdr:col>29</xdr:col>
      <xdr:colOff>600074</xdr:colOff>
      <xdr:row>48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155</xdr:row>
      <xdr:rowOff>123825</xdr:rowOff>
    </xdr:from>
    <xdr:to>
      <xdr:col>8</xdr:col>
      <xdr:colOff>1247774</xdr:colOff>
      <xdr:row>170</xdr:row>
      <xdr:rowOff>145897</xdr:rowOff>
    </xdr:to>
    <xdr:graphicFrame macro="">
      <xdr:nvGraphicFramePr>
        <xdr:cNvPr id="2" name="Gráfico 1" descr="Economática" title="Fonte: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182</xdr:row>
      <xdr:rowOff>4762</xdr:rowOff>
    </xdr:from>
    <xdr:to>
      <xdr:col>8</xdr:col>
      <xdr:colOff>1247774</xdr:colOff>
      <xdr:row>196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182</xdr:row>
      <xdr:rowOff>23812</xdr:rowOff>
    </xdr:from>
    <xdr:to>
      <xdr:col>5</xdr:col>
      <xdr:colOff>833437</xdr:colOff>
      <xdr:row>196</xdr:row>
      <xdr:rowOff>100012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mpresas\Iochpe\2.%20Documentos%20de%20Trabalho\2.1.%20Informa&#231;&#227;o%20Padronizada%20-%20IPs\2021\Aliena&#231;&#227;o%20da%20Participa&#231;&#227;o\arquivos_de_apoio\An&#225;lise%20retrospectiva\Exemplo\economatica%20(Demonstrativos%20Financeiros)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U3"/>
      <sheetName val="Plan1"/>
    </sheetNames>
    <sheetDataSet>
      <sheetData sheetId="0">
        <row r="10">
          <cell r="A10" t="str">
            <v xml:space="preserve"> Ativo total</v>
          </cell>
        </row>
        <row r="77">
          <cell r="A77" t="str">
            <v xml:space="preserve"> Passivo e patrimonio liq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31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B61" sqref="B61"/>
    </sheetView>
  </sheetViews>
  <sheetFormatPr defaultRowHeight="15" x14ac:dyDescent="0.25"/>
  <cols>
    <col min="1" max="1" width="48.140625" bestFit="1" customWidth="1"/>
    <col min="2" max="2" width="17.5703125" bestFit="1" customWidth="1"/>
    <col min="3" max="3" width="17.5703125" customWidth="1"/>
    <col min="4" max="11" width="18.7109375" customWidth="1"/>
    <col min="12" max="12" width="11.28515625" bestFit="1" customWidth="1"/>
    <col min="13" max="13" width="16.42578125" bestFit="1" customWidth="1"/>
    <col min="14" max="14" width="16.42578125" customWidth="1"/>
    <col min="15" max="22" width="14.7109375" customWidth="1"/>
  </cols>
  <sheetData>
    <row r="1" spans="1:22" x14ac:dyDescent="0.25">
      <c r="A1" s="18" t="s">
        <v>357</v>
      </c>
      <c r="L1" s="19"/>
    </row>
    <row r="2" spans="1:22" x14ac:dyDescent="0.25">
      <c r="A2" s="18" t="s">
        <v>360</v>
      </c>
    </row>
    <row r="4" spans="1:22" x14ac:dyDescent="0.25">
      <c r="A4" s="20" t="s">
        <v>0</v>
      </c>
      <c r="B4" s="21" t="s">
        <v>467</v>
      </c>
      <c r="C4" s="21" t="s">
        <v>361</v>
      </c>
      <c r="D4" s="21">
        <v>2014</v>
      </c>
      <c r="E4" s="21">
        <v>2015</v>
      </c>
      <c r="F4" s="21" t="s">
        <v>362</v>
      </c>
      <c r="G4" s="21" t="s">
        <v>363</v>
      </c>
      <c r="H4" s="21" t="s">
        <v>364</v>
      </c>
      <c r="I4" s="21" t="s">
        <v>365</v>
      </c>
      <c r="J4" s="21" t="s">
        <v>366</v>
      </c>
      <c r="K4" s="21" t="s">
        <v>367</v>
      </c>
      <c r="M4" s="22" t="s">
        <v>467</v>
      </c>
      <c r="N4" s="22" t="s">
        <v>361</v>
      </c>
      <c r="O4" s="22">
        <v>2014</v>
      </c>
      <c r="P4" s="22">
        <v>2015</v>
      </c>
      <c r="Q4" s="22" t="s">
        <v>362</v>
      </c>
      <c r="R4" s="22" t="s">
        <v>363</v>
      </c>
      <c r="S4" s="22" t="s">
        <v>364</v>
      </c>
      <c r="T4" s="22" t="s">
        <v>365</v>
      </c>
      <c r="U4" s="22" t="s">
        <v>366</v>
      </c>
      <c r="V4" s="22" t="s">
        <v>368</v>
      </c>
    </row>
    <row r="9" spans="1:22" x14ac:dyDescent="0.25">
      <c r="A9" t="s">
        <v>369</v>
      </c>
      <c r="B9" s="23">
        <f>SUM(B10:B12)</f>
        <v>813129000</v>
      </c>
      <c r="C9" s="23">
        <f t="shared" ref="C9:J9" si="0">SUM(C10:C12)</f>
        <v>712303000</v>
      </c>
      <c r="D9" s="23">
        <f t="shared" si="0"/>
        <v>1071044000</v>
      </c>
      <c r="E9" s="23">
        <f t="shared" si="0"/>
        <v>1684702000</v>
      </c>
      <c r="F9" s="23">
        <f t="shared" si="0"/>
        <v>1182808000</v>
      </c>
      <c r="G9" s="23">
        <f t="shared" si="0"/>
        <v>1352544000</v>
      </c>
      <c r="H9" s="23">
        <f t="shared" si="0"/>
        <v>1076149000</v>
      </c>
      <c r="I9" s="23">
        <f t="shared" si="0"/>
        <v>648697000</v>
      </c>
      <c r="J9" s="23">
        <f t="shared" si="0"/>
        <v>1907564000</v>
      </c>
      <c r="K9" s="23">
        <f>SUM(K10:K12)</f>
        <v>1798780000</v>
      </c>
      <c r="L9" s="23"/>
      <c r="M9" s="24">
        <f>B9/1000</f>
        <v>813129</v>
      </c>
      <c r="N9" s="24">
        <f t="shared" ref="N9:V9" si="1">C9/1000</f>
        <v>712303</v>
      </c>
      <c r="O9" s="24">
        <f t="shared" si="1"/>
        <v>1071044</v>
      </c>
      <c r="P9" s="24">
        <f t="shared" si="1"/>
        <v>1684702</v>
      </c>
      <c r="Q9" s="24">
        <f t="shared" si="1"/>
        <v>1182808</v>
      </c>
      <c r="R9" s="24">
        <f t="shared" si="1"/>
        <v>1352544</v>
      </c>
      <c r="S9" s="24">
        <f t="shared" si="1"/>
        <v>1076149</v>
      </c>
      <c r="T9" s="24">
        <f t="shared" si="1"/>
        <v>648697</v>
      </c>
      <c r="U9" s="24">
        <f t="shared" si="1"/>
        <v>1907564</v>
      </c>
      <c r="V9" s="24">
        <f t="shared" si="1"/>
        <v>1798780</v>
      </c>
    </row>
    <row r="10" spans="1:22" x14ac:dyDescent="0.25">
      <c r="A10" t="s">
        <v>370</v>
      </c>
      <c r="B10" s="23">
        <f>Iochpe_Anual!B92</f>
        <v>813129000</v>
      </c>
      <c r="C10" s="23">
        <f>Iochpe_Anual!C92</f>
        <v>671734000</v>
      </c>
      <c r="D10" s="23">
        <f>Iochpe_Anual!D92</f>
        <v>1034604000</v>
      </c>
      <c r="E10" s="23">
        <f>Iochpe_Anual!E92</f>
        <v>1549711000</v>
      </c>
      <c r="F10" s="23">
        <f>Iochpe_Anual!F92</f>
        <v>1166877000</v>
      </c>
      <c r="G10" s="23">
        <f>Iochpe_Anual!G92</f>
        <v>1110559000</v>
      </c>
      <c r="H10" s="23">
        <f>Iochpe_Anual!H92</f>
        <v>912955000</v>
      </c>
      <c r="I10" s="23">
        <f>Iochpe_Anual!I92</f>
        <v>629300000</v>
      </c>
      <c r="J10" s="23">
        <f>Iochpe_Anual!J92</f>
        <v>1907613000</v>
      </c>
      <c r="K10" s="23">
        <f>Iochpe_2_Tri!K92</f>
        <v>1575395000</v>
      </c>
      <c r="L10" s="23"/>
      <c r="M10" s="24">
        <f t="shared" ref="M10:M11" si="2">B10/1000</f>
        <v>813129</v>
      </c>
      <c r="N10" s="24">
        <f t="shared" ref="N10:N11" si="3">C10/1000</f>
        <v>671734</v>
      </c>
      <c r="O10" s="24">
        <f t="shared" ref="O10:O11" si="4">D10/1000</f>
        <v>1034604</v>
      </c>
      <c r="P10" s="24">
        <f t="shared" ref="P10:P11" si="5">E10/1000</f>
        <v>1549711</v>
      </c>
      <c r="Q10" s="24">
        <f t="shared" ref="Q10:Q11" si="6">F10/1000</f>
        <v>1166877</v>
      </c>
      <c r="R10" s="24">
        <f t="shared" ref="R10:R11" si="7">G10/1000</f>
        <v>1110559</v>
      </c>
      <c r="S10" s="24">
        <f t="shared" ref="S10:S11" si="8">H10/1000</f>
        <v>912955</v>
      </c>
      <c r="T10" s="24">
        <f t="shared" ref="T10:T11" si="9">I10/1000</f>
        <v>629300</v>
      </c>
      <c r="U10" s="24">
        <f t="shared" ref="U10:U11" si="10">J10/1000</f>
        <v>1907613</v>
      </c>
      <c r="V10" s="24">
        <f t="shared" ref="V10:V11" si="11">K10/1000</f>
        <v>1575395</v>
      </c>
    </row>
    <row r="11" spans="1:22" x14ac:dyDescent="0.25">
      <c r="A11" t="s">
        <v>371</v>
      </c>
      <c r="B11" s="23">
        <f>Iochpe_Anual!B95</f>
        <v>0</v>
      </c>
      <c r="C11" s="23">
        <f>Iochpe_Anual!C95</f>
        <v>40569000</v>
      </c>
      <c r="D11" s="23">
        <f>Iochpe_Anual!D95</f>
        <v>36440000</v>
      </c>
      <c r="E11" s="23">
        <f>Iochpe_Anual!E95</f>
        <v>134991000</v>
      </c>
      <c r="F11" s="23">
        <f>Iochpe_Anual!F95</f>
        <v>15931000</v>
      </c>
      <c r="G11" s="23">
        <f>Iochpe_Anual!G95</f>
        <v>241985000</v>
      </c>
      <c r="H11" s="23">
        <f>Iochpe_Anual!H95</f>
        <v>163194000</v>
      </c>
      <c r="I11" s="23">
        <f>Iochpe_Anual!I95</f>
        <v>19397000</v>
      </c>
      <c r="J11" s="23">
        <f>Iochpe_Anual!J95</f>
        <v>-49000</v>
      </c>
      <c r="K11" s="23">
        <f>Iochpe_2_Tri!K95</f>
        <v>223385000</v>
      </c>
      <c r="L11" s="23"/>
      <c r="M11" s="24">
        <f t="shared" si="2"/>
        <v>0</v>
      </c>
      <c r="N11" s="24">
        <f t="shared" si="3"/>
        <v>40569</v>
      </c>
      <c r="O11" s="24">
        <f t="shared" si="4"/>
        <v>36440</v>
      </c>
      <c r="P11" s="24">
        <f t="shared" si="5"/>
        <v>134991</v>
      </c>
      <c r="Q11" s="24">
        <f t="shared" si="6"/>
        <v>15931</v>
      </c>
      <c r="R11" s="24">
        <f t="shared" si="7"/>
        <v>241985</v>
      </c>
      <c r="S11" s="24">
        <f t="shared" si="8"/>
        <v>163194</v>
      </c>
      <c r="T11" s="24">
        <f t="shared" si="9"/>
        <v>19397</v>
      </c>
      <c r="U11" s="24">
        <f t="shared" si="10"/>
        <v>-49</v>
      </c>
      <c r="V11" s="24">
        <f t="shared" si="11"/>
        <v>223385</v>
      </c>
    </row>
    <row r="12" spans="1:22" x14ac:dyDescent="0.25">
      <c r="A12" t="s">
        <v>372</v>
      </c>
      <c r="B12" s="23">
        <f>Iochpe_Anual!B96</f>
        <v>0</v>
      </c>
      <c r="C12" s="23">
        <f>Iochpe_Anual!C96</f>
        <v>0</v>
      </c>
      <c r="D12" s="23">
        <f>Iochpe_Anual!D96</f>
        <v>0</v>
      </c>
      <c r="E12" s="23">
        <f>Iochpe_Anual!E96</f>
        <v>0</v>
      </c>
      <c r="F12" s="23">
        <f>Iochpe_Anual!F96</f>
        <v>0</v>
      </c>
      <c r="G12" s="23">
        <f>Iochpe_Anual!G96</f>
        <v>0</v>
      </c>
      <c r="H12" s="23">
        <f>Iochpe_Anual!H96</f>
        <v>0</v>
      </c>
      <c r="I12" s="23">
        <f>Iochpe_Anual!I96</f>
        <v>0</v>
      </c>
      <c r="J12" s="23">
        <f>Iochpe_Anual!J96</f>
        <v>0</v>
      </c>
      <c r="K12" s="23">
        <f>Iochpe_2_Tri!K96</f>
        <v>0</v>
      </c>
      <c r="L12" s="23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5"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t="s">
        <v>373</v>
      </c>
      <c r="B14" s="23">
        <f>SUM(B15:B17)</f>
        <v>2187776000</v>
      </c>
      <c r="C14" s="23">
        <f t="shared" ref="C14:J14" si="12">SUM(C15:C17)</f>
        <v>2061181000</v>
      </c>
      <c r="D14" s="23">
        <f t="shared" si="12"/>
        <v>1821362000</v>
      </c>
      <c r="E14" s="23">
        <f t="shared" si="12"/>
        <v>1730153000</v>
      </c>
      <c r="F14" s="23">
        <f t="shared" si="12"/>
        <v>1877277000</v>
      </c>
      <c r="G14" s="23">
        <f t="shared" si="12"/>
        <v>1490732000</v>
      </c>
      <c r="H14" s="23">
        <f t="shared" si="12"/>
        <v>1737556000</v>
      </c>
      <c r="I14" s="23">
        <f t="shared" si="12"/>
        <v>2412886000</v>
      </c>
      <c r="J14" s="23">
        <f t="shared" si="12"/>
        <v>3212825000</v>
      </c>
      <c r="K14" s="23">
        <f>SUM(K15:K17)</f>
        <v>3574364000</v>
      </c>
      <c r="L14" s="23"/>
      <c r="M14" s="24">
        <f>B14/1000</f>
        <v>2187776</v>
      </c>
      <c r="N14" s="24">
        <f t="shared" ref="N14:N16" si="13">C14/1000</f>
        <v>2061181</v>
      </c>
      <c r="O14" s="24">
        <f t="shared" ref="O14:O16" si="14">D14/1000</f>
        <v>1821362</v>
      </c>
      <c r="P14" s="24">
        <f t="shared" ref="P14:P16" si="15">E14/1000</f>
        <v>1730153</v>
      </c>
      <c r="Q14" s="24">
        <f t="shared" ref="Q14:Q16" si="16">F14/1000</f>
        <v>1877277</v>
      </c>
      <c r="R14" s="24">
        <f t="shared" ref="R14:R16" si="17">G14/1000</f>
        <v>1490732</v>
      </c>
      <c r="S14" s="24">
        <f t="shared" ref="S14:S16" si="18">H14/1000</f>
        <v>1737556</v>
      </c>
      <c r="T14" s="24">
        <f t="shared" ref="T14:T16" si="19">I14/1000</f>
        <v>2412886</v>
      </c>
      <c r="U14" s="24">
        <f t="shared" ref="U14:U16" si="20">J14/1000</f>
        <v>3212825</v>
      </c>
      <c r="V14" s="24">
        <f t="shared" ref="V14:V16" si="21">K14/1000</f>
        <v>3574364</v>
      </c>
    </row>
    <row r="15" spans="1:22" x14ac:dyDescent="0.25">
      <c r="A15" t="s">
        <v>374</v>
      </c>
      <c r="B15" s="23">
        <f>Iochpe_Anual!B125</f>
        <v>2187776000</v>
      </c>
      <c r="C15" s="23">
        <f>Iochpe_Anual!C125</f>
        <v>842457000</v>
      </c>
      <c r="D15" s="23">
        <f>Iochpe_Anual!D125</f>
        <v>648484000</v>
      </c>
      <c r="E15" s="23">
        <f>Iochpe_Anual!E125</f>
        <v>675738000</v>
      </c>
      <c r="F15" s="23">
        <f>Iochpe_Anual!F125</f>
        <v>1381843000</v>
      </c>
      <c r="G15" s="23">
        <f>Iochpe_Anual!G125</f>
        <v>1333735000</v>
      </c>
      <c r="H15" s="23">
        <f>Iochpe_Anual!H125</f>
        <v>1291758000</v>
      </c>
      <c r="I15" s="23">
        <f>Iochpe_Anual!I125</f>
        <v>1173173000</v>
      </c>
      <c r="J15" s="23">
        <f>Iochpe_Anual!J125</f>
        <v>1983098000</v>
      </c>
      <c r="K15" s="23">
        <f>Iochpe_2_Tri!K125</f>
        <v>2574417000</v>
      </c>
      <c r="L15" s="23"/>
      <c r="M15" s="24">
        <f>B15/1000</f>
        <v>2187776</v>
      </c>
      <c r="N15" s="24">
        <f t="shared" si="13"/>
        <v>842457</v>
      </c>
      <c r="O15" s="24">
        <f t="shared" si="14"/>
        <v>648484</v>
      </c>
      <c r="P15" s="24">
        <f t="shared" si="15"/>
        <v>675738</v>
      </c>
      <c r="Q15" s="24">
        <f t="shared" si="16"/>
        <v>1381843</v>
      </c>
      <c r="R15" s="24">
        <f t="shared" si="17"/>
        <v>1333735</v>
      </c>
      <c r="S15" s="24">
        <f t="shared" si="18"/>
        <v>1291758</v>
      </c>
      <c r="T15" s="24">
        <f t="shared" si="19"/>
        <v>1173173</v>
      </c>
      <c r="U15" s="24">
        <f t="shared" si="20"/>
        <v>1983098</v>
      </c>
      <c r="V15" s="24">
        <f t="shared" si="21"/>
        <v>2574417</v>
      </c>
    </row>
    <row r="16" spans="1:22" x14ac:dyDescent="0.25">
      <c r="A16" t="s">
        <v>375</v>
      </c>
      <c r="B16" s="23">
        <f>Iochpe_Anual!B128</f>
        <v>0</v>
      </c>
      <c r="C16" s="23">
        <f>Iochpe_Anual!C128</f>
        <v>1218724000</v>
      </c>
      <c r="D16" s="23">
        <f>Iochpe_Anual!D128</f>
        <v>1172878000</v>
      </c>
      <c r="E16" s="23">
        <f>Iochpe_Anual!E128</f>
        <v>1054415000</v>
      </c>
      <c r="F16" s="23">
        <f>Iochpe_Anual!F128</f>
        <v>495434000</v>
      </c>
      <c r="G16" s="23">
        <f>Iochpe_Anual!G128</f>
        <v>156997000</v>
      </c>
      <c r="H16" s="23">
        <f>Iochpe_Anual!H128</f>
        <v>445798000</v>
      </c>
      <c r="I16" s="23">
        <f>Iochpe_Anual!I128</f>
        <v>1239713000</v>
      </c>
      <c r="J16" s="23">
        <f>Iochpe_Anual!J128</f>
        <v>1229727000</v>
      </c>
      <c r="K16" s="23">
        <f>Iochpe_2_Tri!K128</f>
        <v>999947000</v>
      </c>
      <c r="L16" s="23"/>
      <c r="M16" s="24">
        <f>B16/1000</f>
        <v>0</v>
      </c>
      <c r="N16" s="24">
        <f t="shared" si="13"/>
        <v>1218724</v>
      </c>
      <c r="O16" s="24">
        <f t="shared" si="14"/>
        <v>1172878</v>
      </c>
      <c r="P16" s="24">
        <f t="shared" si="15"/>
        <v>1054415</v>
      </c>
      <c r="Q16" s="24">
        <f t="shared" si="16"/>
        <v>495434</v>
      </c>
      <c r="R16" s="24">
        <f t="shared" si="17"/>
        <v>156997</v>
      </c>
      <c r="S16" s="24">
        <f t="shared" si="18"/>
        <v>445798</v>
      </c>
      <c r="T16" s="24">
        <f t="shared" si="19"/>
        <v>1239713</v>
      </c>
      <c r="U16" s="24">
        <f t="shared" si="20"/>
        <v>1229727</v>
      </c>
      <c r="V16" s="24">
        <f t="shared" si="21"/>
        <v>999947</v>
      </c>
    </row>
    <row r="17" spans="1:33" x14ac:dyDescent="0.25">
      <c r="A17" t="s">
        <v>376</v>
      </c>
      <c r="B17" s="23">
        <f>Iochpe_Anual!B129</f>
        <v>0</v>
      </c>
      <c r="C17" s="23">
        <f>Iochpe_Anual!C129</f>
        <v>0</v>
      </c>
      <c r="D17" s="23">
        <f>Iochpe_Anual!D129</f>
        <v>0</v>
      </c>
      <c r="E17" s="23">
        <f>Iochpe_Anual!E129</f>
        <v>0</v>
      </c>
      <c r="F17" s="23">
        <f>Iochpe_Anual!F129</f>
        <v>0</v>
      </c>
      <c r="G17" s="23">
        <f>Iochpe_Anual!G129</f>
        <v>0</v>
      </c>
      <c r="H17" s="23">
        <f>Iochpe_Anual!H129</f>
        <v>0</v>
      </c>
      <c r="I17" s="23">
        <f>Iochpe_Anual!I129</f>
        <v>0</v>
      </c>
      <c r="J17" s="23">
        <f>Iochpe_Anual!J129</f>
        <v>0</v>
      </c>
      <c r="K17" s="23">
        <f>Iochpe_2_Tri!K129</f>
        <v>0</v>
      </c>
      <c r="L17" s="23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33" x14ac:dyDescent="0.25"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33" x14ac:dyDescent="0.25">
      <c r="A19" t="s">
        <v>377</v>
      </c>
      <c r="B19" s="24">
        <f>B9+B14</f>
        <v>3000905000</v>
      </c>
      <c r="C19" s="24">
        <f t="shared" ref="C19:J19" si="22">C9+C14</f>
        <v>2773484000</v>
      </c>
      <c r="D19" s="24">
        <f t="shared" si="22"/>
        <v>2892406000</v>
      </c>
      <c r="E19" s="24">
        <f t="shared" si="22"/>
        <v>3414855000</v>
      </c>
      <c r="F19" s="24">
        <f t="shared" si="22"/>
        <v>3060085000</v>
      </c>
      <c r="G19" s="24">
        <f t="shared" si="22"/>
        <v>2843276000</v>
      </c>
      <c r="H19" s="24">
        <f t="shared" si="22"/>
        <v>2813705000</v>
      </c>
      <c r="I19" s="24">
        <f t="shared" si="22"/>
        <v>3061583000</v>
      </c>
      <c r="J19" s="24">
        <f t="shared" si="22"/>
        <v>5120389000</v>
      </c>
      <c r="K19" s="24">
        <f>K9+K14</f>
        <v>5373144000</v>
      </c>
      <c r="L19" s="24"/>
      <c r="M19" s="24">
        <f>B19/1000</f>
        <v>3000905</v>
      </c>
      <c r="N19" s="24">
        <f t="shared" ref="N19" si="23">C19/1000</f>
        <v>2773484</v>
      </c>
      <c r="O19" s="24">
        <f t="shared" ref="O19" si="24">D19/1000</f>
        <v>2892406</v>
      </c>
      <c r="P19" s="24">
        <f t="shared" ref="P19" si="25">E19/1000</f>
        <v>3414855</v>
      </c>
      <c r="Q19" s="24">
        <f t="shared" ref="Q19" si="26">F19/1000</f>
        <v>3060085</v>
      </c>
      <c r="R19" s="24">
        <f t="shared" ref="R19" si="27">G19/1000</f>
        <v>2843276</v>
      </c>
      <c r="S19" s="24">
        <f t="shared" ref="S19" si="28">H19/1000</f>
        <v>2813705</v>
      </c>
      <c r="T19" s="24">
        <f t="shared" ref="T19" si="29">I19/1000</f>
        <v>3061583</v>
      </c>
      <c r="U19" s="24">
        <f t="shared" ref="U19" si="30">J19/1000</f>
        <v>5120389</v>
      </c>
      <c r="V19" s="24">
        <f t="shared" ref="V19" si="31">K19/1000</f>
        <v>5373144</v>
      </c>
      <c r="Y19" s="24">
        <f>M19</f>
        <v>3000905</v>
      </c>
      <c r="Z19" s="24">
        <f t="shared" ref="Z19:AG19" si="32">O19</f>
        <v>2892406</v>
      </c>
      <c r="AA19" s="24">
        <f t="shared" si="32"/>
        <v>3414855</v>
      </c>
      <c r="AB19" s="24">
        <f t="shared" si="32"/>
        <v>3060085</v>
      </c>
      <c r="AC19" s="24">
        <f t="shared" si="32"/>
        <v>2843276</v>
      </c>
      <c r="AD19" s="24">
        <f t="shared" si="32"/>
        <v>2813705</v>
      </c>
      <c r="AE19" s="24">
        <f t="shared" si="32"/>
        <v>3061583</v>
      </c>
      <c r="AF19" s="24">
        <f t="shared" si="32"/>
        <v>5120389</v>
      </c>
      <c r="AG19" s="24">
        <f t="shared" si="32"/>
        <v>5373144</v>
      </c>
    </row>
    <row r="20" spans="1:33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33" x14ac:dyDescent="0.25">
      <c r="A21" t="s">
        <v>378</v>
      </c>
      <c r="B21" s="25">
        <f>B9/B19</f>
        <v>0.27096126001989401</v>
      </c>
      <c r="C21" s="25">
        <f t="shared" ref="C21:J21" si="33">C9/C19</f>
        <v>0.25682607146823272</v>
      </c>
      <c r="D21" s="25">
        <f t="shared" si="33"/>
        <v>0.37029517986064198</v>
      </c>
      <c r="E21" s="25">
        <f t="shared" si="33"/>
        <v>0.49334510542907384</v>
      </c>
      <c r="F21" s="25">
        <f t="shared" si="33"/>
        <v>0.3865278252074697</v>
      </c>
      <c r="G21" s="25">
        <f t="shared" si="33"/>
        <v>0.47569915829486831</v>
      </c>
      <c r="H21" s="25">
        <f t="shared" si="33"/>
        <v>0.38246688974146187</v>
      </c>
      <c r="I21" s="25">
        <f t="shared" si="33"/>
        <v>0.21188287235720868</v>
      </c>
      <c r="J21" s="25">
        <f t="shared" si="33"/>
        <v>0.37254278922949019</v>
      </c>
      <c r="K21" s="25">
        <f>K9/K19</f>
        <v>0.33477234185422911</v>
      </c>
      <c r="L21" s="24"/>
      <c r="M21" s="25">
        <f>B21</f>
        <v>0.27096126001989401</v>
      </c>
      <c r="N21" s="25">
        <f t="shared" ref="N21:V21" si="34">C21</f>
        <v>0.25682607146823272</v>
      </c>
      <c r="O21" s="25">
        <f t="shared" si="34"/>
        <v>0.37029517986064198</v>
      </c>
      <c r="P21" s="25">
        <f t="shared" si="34"/>
        <v>0.49334510542907384</v>
      </c>
      <c r="Q21" s="25">
        <f t="shared" si="34"/>
        <v>0.3865278252074697</v>
      </c>
      <c r="R21" s="25">
        <f t="shared" si="34"/>
        <v>0.47569915829486831</v>
      </c>
      <c r="S21" s="25">
        <f t="shared" si="34"/>
        <v>0.38246688974146187</v>
      </c>
      <c r="T21" s="25">
        <f t="shared" si="34"/>
        <v>0.21188287235720868</v>
      </c>
      <c r="U21" s="25">
        <f t="shared" si="34"/>
        <v>0.37254278922949019</v>
      </c>
      <c r="V21" s="25">
        <f t="shared" si="34"/>
        <v>0.33477234185422911</v>
      </c>
    </row>
    <row r="22" spans="1:33" x14ac:dyDescent="0.25"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33" x14ac:dyDescent="0.25">
      <c r="A23" t="s">
        <v>379</v>
      </c>
      <c r="B23" s="26">
        <f>SUM(B24:B25)</f>
        <v>506500000</v>
      </c>
      <c r="C23" s="26">
        <f t="shared" ref="C23:J23" si="35">SUM(C24:C25)</f>
        <v>662230000</v>
      </c>
      <c r="D23" s="26">
        <f t="shared" si="35"/>
        <v>717079000</v>
      </c>
      <c r="E23" s="26">
        <f t="shared" si="35"/>
        <v>739255000</v>
      </c>
      <c r="F23" s="26">
        <f t="shared" si="35"/>
        <v>431599000</v>
      </c>
      <c r="G23" s="26">
        <f t="shared" si="35"/>
        <v>543331000</v>
      </c>
      <c r="H23" s="26">
        <f t="shared" si="35"/>
        <v>486903000</v>
      </c>
      <c r="I23" s="26">
        <f t="shared" si="35"/>
        <v>646137000</v>
      </c>
      <c r="J23" s="26">
        <f t="shared" si="35"/>
        <v>1605439000</v>
      </c>
      <c r="K23" s="26">
        <f>SUM(K24:K25)</f>
        <v>1355258000</v>
      </c>
      <c r="M23" s="24">
        <f>B23/1000</f>
        <v>506500</v>
      </c>
      <c r="N23" s="24">
        <f t="shared" ref="N23:N25" si="36">C23/1000</f>
        <v>662230</v>
      </c>
      <c r="O23" s="24">
        <f t="shared" ref="O23:O25" si="37">D23/1000</f>
        <v>717079</v>
      </c>
      <c r="P23" s="24">
        <f t="shared" ref="P23:P25" si="38">E23/1000</f>
        <v>739255</v>
      </c>
      <c r="Q23" s="24">
        <f t="shared" ref="Q23:Q25" si="39">F23/1000</f>
        <v>431599</v>
      </c>
      <c r="R23" s="24">
        <f t="shared" ref="R23:R25" si="40">G23/1000</f>
        <v>543331</v>
      </c>
      <c r="S23" s="24">
        <f t="shared" ref="S23:S25" si="41">H23/1000</f>
        <v>486903</v>
      </c>
      <c r="T23" s="24">
        <f t="shared" ref="T23:T25" si="42">I23/1000</f>
        <v>646137</v>
      </c>
      <c r="U23" s="24">
        <f t="shared" ref="U23:U25" si="43">J23/1000</f>
        <v>1605439</v>
      </c>
      <c r="V23" s="24">
        <f t="shared" ref="V23:V25" si="44">K23/1000</f>
        <v>1355258</v>
      </c>
      <c r="Y23" s="24">
        <f>M23</f>
        <v>506500</v>
      </c>
      <c r="Z23" s="24">
        <f t="shared" ref="Z23:AG23" si="45">O23</f>
        <v>717079</v>
      </c>
      <c r="AA23" s="24">
        <f t="shared" si="45"/>
        <v>739255</v>
      </c>
      <c r="AB23" s="24">
        <f t="shared" si="45"/>
        <v>431599</v>
      </c>
      <c r="AC23" s="24">
        <f t="shared" si="45"/>
        <v>543331</v>
      </c>
      <c r="AD23" s="24">
        <f t="shared" si="45"/>
        <v>486903</v>
      </c>
      <c r="AE23" s="24">
        <f t="shared" si="45"/>
        <v>646137</v>
      </c>
      <c r="AF23" s="24">
        <f t="shared" si="45"/>
        <v>1605439</v>
      </c>
      <c r="AG23" s="24">
        <f t="shared" si="45"/>
        <v>1355258</v>
      </c>
    </row>
    <row r="24" spans="1:33" x14ac:dyDescent="0.25">
      <c r="A24" t="s">
        <v>380</v>
      </c>
      <c r="B24" s="26">
        <f>Iochpe_Anual!B12</f>
        <v>506500000</v>
      </c>
      <c r="C24" s="26">
        <f>Iochpe_Anual!C12</f>
        <v>662230000</v>
      </c>
      <c r="D24" s="26">
        <f>Iochpe_Anual!D12</f>
        <v>717079000</v>
      </c>
      <c r="E24" s="26">
        <f>Iochpe_Anual!E12</f>
        <v>739255000</v>
      </c>
      <c r="F24" s="26">
        <f>Iochpe_Anual!F12</f>
        <v>431599000</v>
      </c>
      <c r="G24" s="26">
        <f>Iochpe_Anual!G12</f>
        <v>543331000</v>
      </c>
      <c r="H24" s="26">
        <f>Iochpe_Anual!H12</f>
        <v>486903000</v>
      </c>
      <c r="I24" s="26">
        <f>Iochpe_Anual!I12</f>
        <v>646137000</v>
      </c>
      <c r="J24" s="26">
        <f>Iochpe_Anual!J12</f>
        <v>1605439000</v>
      </c>
      <c r="K24" s="26">
        <f>Iochpe_2_Tri!K12</f>
        <v>1355258000</v>
      </c>
      <c r="M24" s="24">
        <f>B24/1000</f>
        <v>506500</v>
      </c>
      <c r="N24" s="24">
        <f t="shared" si="36"/>
        <v>662230</v>
      </c>
      <c r="O24" s="24">
        <f t="shared" si="37"/>
        <v>717079</v>
      </c>
      <c r="P24" s="24">
        <f t="shared" si="38"/>
        <v>739255</v>
      </c>
      <c r="Q24" s="24">
        <f t="shared" si="39"/>
        <v>431599</v>
      </c>
      <c r="R24" s="24">
        <f t="shared" si="40"/>
        <v>543331</v>
      </c>
      <c r="S24" s="24">
        <f t="shared" si="41"/>
        <v>486903</v>
      </c>
      <c r="T24" s="24">
        <f t="shared" si="42"/>
        <v>646137</v>
      </c>
      <c r="U24" s="24">
        <f t="shared" si="43"/>
        <v>1605439</v>
      </c>
      <c r="V24" s="24">
        <f t="shared" si="44"/>
        <v>1355258</v>
      </c>
    </row>
    <row r="25" spans="1:33" x14ac:dyDescent="0.25">
      <c r="A25" t="s">
        <v>381</v>
      </c>
      <c r="B25" s="26">
        <f>Iochpe_Anual!B13</f>
        <v>0</v>
      </c>
      <c r="C25" s="26">
        <f>Iochpe_Anual!C13</f>
        <v>0</v>
      </c>
      <c r="D25" s="26">
        <f>Iochpe_Anual!D13</f>
        <v>0</v>
      </c>
      <c r="E25" s="26">
        <f>Iochpe_Anual!E13</f>
        <v>0</v>
      </c>
      <c r="F25" s="26">
        <f>Iochpe_Anual!F13</f>
        <v>0</v>
      </c>
      <c r="G25" s="26">
        <f>Iochpe_Anual!G13</f>
        <v>0</v>
      </c>
      <c r="H25" s="26">
        <f>Iochpe_Anual!H13</f>
        <v>0</v>
      </c>
      <c r="I25" s="26">
        <f>Iochpe_Anual!I13</f>
        <v>0</v>
      </c>
      <c r="J25" s="26">
        <f>Iochpe_Anual!J13</f>
        <v>0</v>
      </c>
      <c r="K25" s="26">
        <f>Iochpe_2_Tri!K13</f>
        <v>0</v>
      </c>
      <c r="M25" s="24">
        <f>B25/1000</f>
        <v>0</v>
      </c>
      <c r="N25" s="24">
        <f t="shared" si="36"/>
        <v>0</v>
      </c>
      <c r="O25" s="24">
        <f t="shared" si="37"/>
        <v>0</v>
      </c>
      <c r="P25" s="24">
        <f t="shared" si="38"/>
        <v>0</v>
      </c>
      <c r="Q25" s="24">
        <f t="shared" si="39"/>
        <v>0</v>
      </c>
      <c r="R25" s="24">
        <f t="shared" si="40"/>
        <v>0</v>
      </c>
      <c r="S25" s="24">
        <f t="shared" si="41"/>
        <v>0</v>
      </c>
      <c r="T25" s="24">
        <f t="shared" si="42"/>
        <v>0</v>
      </c>
      <c r="U25" s="24">
        <f t="shared" si="43"/>
        <v>0</v>
      </c>
      <c r="V25" s="24">
        <f t="shared" si="44"/>
        <v>0</v>
      </c>
    </row>
    <row r="26" spans="1:33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33" x14ac:dyDescent="0.25">
      <c r="A27" t="s">
        <v>382</v>
      </c>
      <c r="B27" s="26">
        <f>Iochpe_Anual!B28</f>
        <v>31420000</v>
      </c>
      <c r="C27" s="26">
        <f>Iochpe_Anual!C28</f>
        <v>22000000</v>
      </c>
      <c r="D27" s="26">
        <f>Iochpe_Anual!D28</f>
        <v>13877000</v>
      </c>
      <c r="E27" s="26">
        <f>Iochpe_Anual!E28</f>
        <v>30592000</v>
      </c>
      <c r="F27" s="26">
        <f>Iochpe_Anual!F28</f>
        <v>23054000</v>
      </c>
      <c r="G27" s="26">
        <f>Iochpe_Anual!G28</f>
        <v>19657000</v>
      </c>
      <c r="H27" s="26">
        <f>Iochpe_Anual!H28</f>
        <v>19641000</v>
      </c>
      <c r="I27" s="26">
        <f>Iochpe_Anual!I28</f>
        <v>20210000</v>
      </c>
      <c r="J27" s="26">
        <f>Iochpe_Anual!J28</f>
        <v>49145000</v>
      </c>
      <c r="K27" s="26">
        <f>Iochpe_2_Tri!K28</f>
        <v>55849000</v>
      </c>
      <c r="M27" s="24">
        <f>B27/1000</f>
        <v>31420</v>
      </c>
      <c r="N27" s="24">
        <f t="shared" ref="N27" si="46">C27/1000</f>
        <v>22000</v>
      </c>
      <c r="O27" s="24">
        <f t="shared" ref="O27" si="47">D27/1000</f>
        <v>13877</v>
      </c>
      <c r="P27" s="24">
        <f t="shared" ref="P27" si="48">E27/1000</f>
        <v>30592</v>
      </c>
      <c r="Q27" s="24">
        <f t="shared" ref="Q27" si="49">F27/1000</f>
        <v>23054</v>
      </c>
      <c r="R27" s="24">
        <f t="shared" ref="R27" si="50">G27/1000</f>
        <v>19657</v>
      </c>
      <c r="S27" s="24">
        <f t="shared" ref="S27" si="51">H27/1000</f>
        <v>19641</v>
      </c>
      <c r="T27" s="24">
        <f t="shared" ref="T27" si="52">I27/1000</f>
        <v>20210</v>
      </c>
      <c r="U27" s="24">
        <f t="shared" ref="U27" si="53">J27/1000</f>
        <v>49145</v>
      </c>
      <c r="V27" s="24">
        <f t="shared" ref="V27" si="54">K27/1000</f>
        <v>55849</v>
      </c>
    </row>
    <row r="28" spans="1:33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33" x14ac:dyDescent="0.25">
      <c r="A29" t="s">
        <v>383</v>
      </c>
      <c r="B29" s="26">
        <f>B19 - B24 - B25</f>
        <v>2494405000</v>
      </c>
      <c r="C29" s="26">
        <f t="shared" ref="C29:J29" si="55">C19 - C24 - C25</f>
        <v>2111254000</v>
      </c>
      <c r="D29" s="26">
        <f t="shared" si="55"/>
        <v>2175327000</v>
      </c>
      <c r="E29" s="26">
        <f t="shared" si="55"/>
        <v>2675600000</v>
      </c>
      <c r="F29" s="26">
        <f t="shared" si="55"/>
        <v>2628486000</v>
      </c>
      <c r="G29" s="26">
        <f t="shared" si="55"/>
        <v>2299945000</v>
      </c>
      <c r="H29" s="26">
        <f t="shared" si="55"/>
        <v>2326802000</v>
      </c>
      <c r="I29" s="26">
        <f t="shared" si="55"/>
        <v>2415446000</v>
      </c>
      <c r="J29" s="26">
        <f t="shared" si="55"/>
        <v>3514950000</v>
      </c>
      <c r="K29" s="26">
        <f>K19 - K24 - K25</f>
        <v>4017886000</v>
      </c>
      <c r="M29" s="24">
        <f>B29/1000</f>
        <v>2494405</v>
      </c>
      <c r="N29" s="24">
        <f t="shared" ref="N29" si="56">C29/1000</f>
        <v>2111254</v>
      </c>
      <c r="O29" s="24">
        <f t="shared" ref="O29" si="57">D29/1000</f>
        <v>2175327</v>
      </c>
      <c r="P29" s="24">
        <f t="shared" ref="P29" si="58">E29/1000</f>
        <v>2675600</v>
      </c>
      <c r="Q29" s="24">
        <f t="shared" ref="Q29" si="59">F29/1000</f>
        <v>2628486</v>
      </c>
      <c r="R29" s="24">
        <f t="shared" ref="R29" si="60">G29/1000</f>
        <v>2299945</v>
      </c>
      <c r="S29" s="24">
        <f t="shared" ref="S29" si="61">H29/1000</f>
        <v>2326802</v>
      </c>
      <c r="T29" s="24">
        <f t="shared" ref="T29" si="62">I29/1000</f>
        <v>2415446</v>
      </c>
      <c r="U29" s="24">
        <f t="shared" ref="U29" si="63">J29/1000</f>
        <v>3514950</v>
      </c>
      <c r="V29" s="24">
        <f t="shared" ref="V29" si="64">K29/1000</f>
        <v>4017886</v>
      </c>
      <c r="Y29" s="24">
        <f>M29</f>
        <v>2494405</v>
      </c>
      <c r="Z29" s="24">
        <f t="shared" ref="Z29:AG29" si="65">O29</f>
        <v>2175327</v>
      </c>
      <c r="AA29" s="24">
        <f t="shared" si="65"/>
        <v>2675600</v>
      </c>
      <c r="AB29" s="24">
        <f t="shared" si="65"/>
        <v>2628486</v>
      </c>
      <c r="AC29" s="24">
        <f t="shared" si="65"/>
        <v>2299945</v>
      </c>
      <c r="AD29" s="24">
        <f t="shared" si="65"/>
        <v>2326802</v>
      </c>
      <c r="AE29" s="24">
        <f t="shared" si="65"/>
        <v>2415446</v>
      </c>
      <c r="AF29" s="24">
        <f t="shared" si="65"/>
        <v>3514950</v>
      </c>
      <c r="AG29" s="24">
        <f t="shared" si="65"/>
        <v>4017886</v>
      </c>
    </row>
    <row r="30" spans="1:33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33" x14ac:dyDescent="0.25"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33" x14ac:dyDescent="0.25">
      <c r="A32" t="s">
        <v>384</v>
      </c>
      <c r="B32" s="24">
        <f>Iochpe_Anual!B10</f>
        <v>5785582000</v>
      </c>
      <c r="C32" s="24">
        <f>Iochpe_Anual!C10</f>
        <v>6035705000</v>
      </c>
      <c r="D32" s="24">
        <f>Iochpe_Anual!D10</f>
        <v>6289024000</v>
      </c>
      <c r="E32" s="24">
        <f>Iochpe_Anual!E10</f>
        <v>7990379000</v>
      </c>
      <c r="F32" s="24">
        <f>Iochpe_Anual!F10</f>
        <v>7057115000</v>
      </c>
      <c r="G32" s="24">
        <f>Iochpe_Anual!G10</f>
        <v>7922248000</v>
      </c>
      <c r="H32" s="24">
        <f>Iochpe_Anual!H10</f>
        <v>9019190000</v>
      </c>
      <c r="I32" s="24">
        <f>Iochpe_Anual!I10</f>
        <v>9375411000</v>
      </c>
      <c r="J32" s="24">
        <f>Iochpe_Anual!J10</f>
        <v>12411803000</v>
      </c>
      <c r="K32" s="24">
        <f>Iochpe_2_Tri!K10</f>
        <v>13203278000</v>
      </c>
      <c r="L32" s="24"/>
      <c r="M32" s="24">
        <f>B32/1000</f>
        <v>5785582</v>
      </c>
      <c r="N32" s="24">
        <f t="shared" ref="N32:N43" si="66">C32/1000</f>
        <v>6035705</v>
      </c>
      <c r="O32" s="24">
        <f t="shared" ref="O32:O43" si="67">D32/1000</f>
        <v>6289024</v>
      </c>
      <c r="P32" s="24">
        <f t="shared" ref="P32:P43" si="68">E32/1000</f>
        <v>7990379</v>
      </c>
      <c r="Q32" s="24">
        <f t="shared" ref="Q32:Q43" si="69">F32/1000</f>
        <v>7057115</v>
      </c>
      <c r="R32" s="24">
        <f t="shared" ref="R32:R43" si="70">G32/1000</f>
        <v>7922248</v>
      </c>
      <c r="S32" s="24">
        <f t="shared" ref="S32:S43" si="71">H32/1000</f>
        <v>9019190</v>
      </c>
      <c r="T32" s="24">
        <f t="shared" ref="T32:T43" si="72">I32/1000</f>
        <v>9375411</v>
      </c>
      <c r="U32" s="24">
        <f t="shared" ref="U32:U43" si="73">J32/1000</f>
        <v>12411803</v>
      </c>
      <c r="V32" s="24">
        <f t="shared" ref="V32:V43" si="74">K32/1000</f>
        <v>13203278</v>
      </c>
    </row>
    <row r="33" spans="1:33" x14ac:dyDescent="0.25">
      <c r="A33" t="s">
        <v>385</v>
      </c>
      <c r="B33" s="24">
        <f>Iochpe_Anual!B11</f>
        <v>2154873000</v>
      </c>
      <c r="C33" s="24">
        <f>Iochpe_Anual!C11</f>
        <v>2218944000</v>
      </c>
      <c r="D33" s="24">
        <f>Iochpe_Anual!D11</f>
        <v>2257929000</v>
      </c>
      <c r="E33" s="24">
        <f>Iochpe_Anual!E11</f>
        <v>2727855000</v>
      </c>
      <c r="F33" s="24">
        <f>Iochpe_Anual!F11</f>
        <v>2364711000</v>
      </c>
      <c r="G33" s="24">
        <f>Iochpe_Anual!G11</f>
        <v>3048763000</v>
      </c>
      <c r="H33" s="24">
        <f>Iochpe_Anual!H11</f>
        <v>3523802000</v>
      </c>
      <c r="I33" s="24">
        <f>Iochpe_Anual!I11</f>
        <v>3357621000</v>
      </c>
      <c r="J33" s="24">
        <f>Iochpe_Anual!J11</f>
        <v>5161926000</v>
      </c>
      <c r="K33" s="24">
        <f>Iochpe_2_Tri!K11</f>
        <v>6208374000</v>
      </c>
      <c r="L33" s="24"/>
      <c r="M33" s="24">
        <f t="shared" ref="M33:M43" si="75">B33/1000</f>
        <v>2154873</v>
      </c>
      <c r="N33" s="24">
        <f t="shared" si="66"/>
        <v>2218944</v>
      </c>
      <c r="O33" s="24">
        <f t="shared" si="67"/>
        <v>2257929</v>
      </c>
      <c r="P33" s="24">
        <f t="shared" si="68"/>
        <v>2727855</v>
      </c>
      <c r="Q33" s="24">
        <f t="shared" si="69"/>
        <v>2364711</v>
      </c>
      <c r="R33" s="24">
        <f t="shared" si="70"/>
        <v>3048763</v>
      </c>
      <c r="S33" s="24">
        <f t="shared" si="71"/>
        <v>3523802</v>
      </c>
      <c r="T33" s="24">
        <f t="shared" si="72"/>
        <v>3357621</v>
      </c>
      <c r="U33" s="24">
        <f t="shared" si="73"/>
        <v>5161926</v>
      </c>
      <c r="V33" s="24">
        <f t="shared" si="74"/>
        <v>6208374</v>
      </c>
    </row>
    <row r="34" spans="1:33" x14ac:dyDescent="0.25">
      <c r="A34" t="s">
        <v>468</v>
      </c>
      <c r="B34" s="24">
        <f>Iochpe_Anual!B12</f>
        <v>506500000</v>
      </c>
      <c r="C34" s="24">
        <f>Iochpe_Anual!C12</f>
        <v>662230000</v>
      </c>
      <c r="D34" s="24">
        <f>Iochpe_Anual!D12</f>
        <v>717079000</v>
      </c>
      <c r="E34" s="24">
        <f>Iochpe_Anual!E12</f>
        <v>739255000</v>
      </c>
      <c r="F34" s="24">
        <f>Iochpe_Anual!F12</f>
        <v>431599000</v>
      </c>
      <c r="G34" s="24">
        <f>Iochpe_Anual!G12</f>
        <v>543331000</v>
      </c>
      <c r="H34" s="24">
        <f>Iochpe_Anual!H12</f>
        <v>486903000</v>
      </c>
      <c r="I34" s="24">
        <f>Iochpe_Anual!I12</f>
        <v>646137000</v>
      </c>
      <c r="J34" s="24">
        <f>Iochpe_Anual!J12</f>
        <v>1605439000</v>
      </c>
      <c r="K34" s="24">
        <f>Iochpe_2_Tri!K12</f>
        <v>1355258000</v>
      </c>
      <c r="L34" s="24"/>
      <c r="M34" s="24">
        <f t="shared" ref="M34:M38" si="76">B34/1000</f>
        <v>506500</v>
      </c>
      <c r="N34" s="24">
        <f t="shared" ref="N34:N38" si="77">C34/1000</f>
        <v>662230</v>
      </c>
      <c r="O34" s="24">
        <f t="shared" ref="O34:O38" si="78">D34/1000</f>
        <v>717079</v>
      </c>
      <c r="P34" s="24">
        <f t="shared" ref="P34:P38" si="79">E34/1000</f>
        <v>739255</v>
      </c>
      <c r="Q34" s="24">
        <f t="shared" ref="Q34:Q38" si="80">F34/1000</f>
        <v>431599</v>
      </c>
      <c r="R34" s="24">
        <f t="shared" ref="R34:R38" si="81">G34/1000</f>
        <v>543331</v>
      </c>
      <c r="S34" s="24">
        <f t="shared" ref="S34:S38" si="82">H34/1000</f>
        <v>486903</v>
      </c>
      <c r="T34" s="24">
        <f t="shared" ref="T34:T38" si="83">I34/1000</f>
        <v>646137</v>
      </c>
      <c r="U34" s="24">
        <f t="shared" ref="U34:U38" si="84">J34/1000</f>
        <v>1605439</v>
      </c>
      <c r="V34" s="24">
        <f t="shared" ref="V34:V38" si="85">K34/1000</f>
        <v>1355258</v>
      </c>
    </row>
    <row r="35" spans="1:33" x14ac:dyDescent="0.25">
      <c r="A35" t="s">
        <v>469</v>
      </c>
      <c r="B35" s="38" t="str">
        <f>IF(ISBLANK(Iochpe_Anual!B16),0,Iochpe_Anual!B16)</f>
        <v>-</v>
      </c>
      <c r="C35" s="38" t="str">
        <f>IF(ISBLANK(Iochpe_Anual!C16),0,Iochpe_Anual!C16)</f>
        <v>-</v>
      </c>
      <c r="D35" s="38" t="str">
        <f>IF(ISBLANK(Iochpe_Anual!D16),0,Iochpe_Anual!D16)</f>
        <v>-</v>
      </c>
      <c r="E35" s="38" t="str">
        <f>IF(ISBLANK(Iochpe_Anual!E16),0,Iochpe_Anual!E16)</f>
        <v>-</v>
      </c>
      <c r="F35" s="38" t="str">
        <f>IF(ISBLANK(Iochpe_Anual!F16),0,Iochpe_Anual!F16)</f>
        <v>-</v>
      </c>
      <c r="G35" s="38" t="str">
        <f>IF(ISBLANK(Iochpe_Anual!G16),0,Iochpe_Anual!G16)</f>
        <v>-</v>
      </c>
      <c r="H35" s="38">
        <f>IF(ISBLANK(Iochpe_Anual!H16),0,Iochpe_Anual!H16)</f>
        <v>0</v>
      </c>
      <c r="I35" s="38">
        <f>IF(ISBLANK(Iochpe_Anual!I16),0,Iochpe_Anual!I16)</f>
        <v>0</v>
      </c>
      <c r="J35" s="38">
        <f>IF(ISBLANK(Iochpe_Anual!J16),0,Iochpe_Anual!J16)</f>
        <v>0</v>
      </c>
      <c r="K35" s="38">
        <f>IF(ISBLANK(Iochpe_2_Tri!K16),0,Iochpe_2_Tri!K16)</f>
        <v>0</v>
      </c>
      <c r="L35" s="24"/>
      <c r="M35" s="38"/>
      <c r="N35" s="24"/>
      <c r="O35" s="38"/>
      <c r="P35" s="38"/>
      <c r="Q35" s="38"/>
      <c r="R35" s="38"/>
      <c r="S35" s="38"/>
      <c r="T35" s="38"/>
      <c r="U35" s="38"/>
      <c r="V35" s="38"/>
    </row>
    <row r="36" spans="1:33" x14ac:dyDescent="0.25">
      <c r="A36" t="s">
        <v>470</v>
      </c>
      <c r="B36" s="24">
        <f>Iochpe_Anual!B22</f>
        <v>759724000</v>
      </c>
      <c r="C36" s="24">
        <f>Iochpe_Anual!C22</f>
        <v>747813000</v>
      </c>
      <c r="D36" s="24">
        <f>Iochpe_Anual!D22</f>
        <v>720663000</v>
      </c>
      <c r="E36" s="24">
        <f>Iochpe_Anual!E22</f>
        <v>865496000</v>
      </c>
      <c r="F36" s="24">
        <f>Iochpe_Anual!F22</f>
        <v>835158000</v>
      </c>
      <c r="G36" s="24">
        <f>Iochpe_Anual!G22</f>
        <v>1064916000</v>
      </c>
      <c r="H36" s="24">
        <f>Iochpe_Anual!H22</f>
        <v>1253826000</v>
      </c>
      <c r="I36" s="24">
        <f>Iochpe_Anual!I22</f>
        <v>1029650000</v>
      </c>
      <c r="J36" s="24">
        <f>Iochpe_Anual!J22</f>
        <v>1405954000</v>
      </c>
      <c r="K36" s="24">
        <f>Iochpe_2_Tri!K22</f>
        <v>1749006000</v>
      </c>
      <c r="L36" s="24"/>
      <c r="M36" s="24">
        <f t="shared" si="76"/>
        <v>759724</v>
      </c>
      <c r="N36" s="24">
        <f t="shared" si="77"/>
        <v>747813</v>
      </c>
      <c r="O36" s="24">
        <f t="shared" si="78"/>
        <v>720663</v>
      </c>
      <c r="P36" s="24">
        <f t="shared" si="79"/>
        <v>865496</v>
      </c>
      <c r="Q36" s="24">
        <f t="shared" si="80"/>
        <v>835158</v>
      </c>
      <c r="R36" s="24">
        <f t="shared" si="81"/>
        <v>1064916</v>
      </c>
      <c r="S36" s="24">
        <f t="shared" si="82"/>
        <v>1253826</v>
      </c>
      <c r="T36" s="24">
        <f t="shared" si="83"/>
        <v>1029650</v>
      </c>
      <c r="U36" s="24">
        <f t="shared" si="84"/>
        <v>1405954</v>
      </c>
      <c r="V36" s="24">
        <f t="shared" si="85"/>
        <v>1749006</v>
      </c>
    </row>
    <row r="37" spans="1:33" x14ac:dyDescent="0.25">
      <c r="A37" t="s">
        <v>471</v>
      </c>
      <c r="B37" s="24">
        <f>Iochpe_Anual!B24</f>
        <v>703903000</v>
      </c>
      <c r="C37" s="24">
        <f>Iochpe_Anual!C24</f>
        <v>639060000</v>
      </c>
      <c r="D37" s="24">
        <f>Iochpe_Anual!D24</f>
        <v>678188000</v>
      </c>
      <c r="E37" s="24">
        <f>Iochpe_Anual!E24</f>
        <v>854665000</v>
      </c>
      <c r="F37" s="24">
        <f>Iochpe_Anual!F24</f>
        <v>865029000</v>
      </c>
      <c r="G37" s="24">
        <f>Iochpe_Anual!G24</f>
        <v>1191445000</v>
      </c>
      <c r="H37" s="24">
        <f>Iochpe_Anual!H24</f>
        <v>1448021000</v>
      </c>
      <c r="I37" s="24">
        <f>Iochpe_Anual!I24</f>
        <v>1328470000</v>
      </c>
      <c r="J37" s="24">
        <f>Iochpe_Anual!J24</f>
        <v>1748497000</v>
      </c>
      <c r="K37" s="24">
        <f>Iochpe_2_Tri!K24</f>
        <v>2474865000</v>
      </c>
      <c r="L37" s="24"/>
      <c r="M37" s="24">
        <f t="shared" si="76"/>
        <v>703903</v>
      </c>
      <c r="N37" s="24">
        <f t="shared" si="77"/>
        <v>639060</v>
      </c>
      <c r="O37" s="24">
        <f t="shared" si="78"/>
        <v>678188</v>
      </c>
      <c r="P37" s="24">
        <f t="shared" si="79"/>
        <v>854665</v>
      </c>
      <c r="Q37" s="24">
        <f t="shared" si="80"/>
        <v>865029</v>
      </c>
      <c r="R37" s="24">
        <f t="shared" si="81"/>
        <v>1191445</v>
      </c>
      <c r="S37" s="24">
        <f t="shared" si="82"/>
        <v>1448021</v>
      </c>
      <c r="T37" s="24">
        <f t="shared" si="83"/>
        <v>1328470</v>
      </c>
      <c r="U37" s="24">
        <f t="shared" si="84"/>
        <v>1748497</v>
      </c>
      <c r="V37" s="24">
        <f t="shared" si="85"/>
        <v>2474865</v>
      </c>
    </row>
    <row r="38" spans="1:33" x14ac:dyDescent="0.25">
      <c r="A38" t="s">
        <v>472</v>
      </c>
      <c r="B38" s="24">
        <f>B33-SUM(B34:B37)</f>
        <v>184746000</v>
      </c>
      <c r="C38" s="24">
        <f t="shared" ref="C38:J38" si="86">C33-SUM(C34:C37)</f>
        <v>169841000</v>
      </c>
      <c r="D38" s="24">
        <f t="shared" si="86"/>
        <v>141999000</v>
      </c>
      <c r="E38" s="24">
        <f t="shared" si="86"/>
        <v>268439000</v>
      </c>
      <c r="F38" s="24">
        <f t="shared" si="86"/>
        <v>232925000</v>
      </c>
      <c r="G38" s="24">
        <f t="shared" si="86"/>
        <v>249071000</v>
      </c>
      <c r="H38" s="24">
        <f t="shared" si="86"/>
        <v>335052000</v>
      </c>
      <c r="I38" s="24">
        <f t="shared" si="86"/>
        <v>353364000</v>
      </c>
      <c r="J38" s="24">
        <f t="shared" si="86"/>
        <v>402036000</v>
      </c>
      <c r="K38" s="24">
        <f>K33-SUM(K34:K37)</f>
        <v>629245000</v>
      </c>
      <c r="L38" s="24"/>
      <c r="M38" s="24">
        <f t="shared" si="76"/>
        <v>184746</v>
      </c>
      <c r="N38" s="24">
        <f t="shared" si="77"/>
        <v>169841</v>
      </c>
      <c r="O38" s="24">
        <f t="shared" si="78"/>
        <v>141999</v>
      </c>
      <c r="P38" s="24">
        <f t="shared" si="79"/>
        <v>268439</v>
      </c>
      <c r="Q38" s="24">
        <f t="shared" si="80"/>
        <v>232925</v>
      </c>
      <c r="R38" s="24">
        <f t="shared" si="81"/>
        <v>249071</v>
      </c>
      <c r="S38" s="24">
        <f t="shared" si="82"/>
        <v>335052</v>
      </c>
      <c r="T38" s="24">
        <f t="shared" si="83"/>
        <v>353364</v>
      </c>
      <c r="U38" s="24">
        <f t="shared" si="84"/>
        <v>402036</v>
      </c>
      <c r="V38" s="24">
        <f t="shared" si="85"/>
        <v>629245</v>
      </c>
    </row>
    <row r="39" spans="1:33" x14ac:dyDescent="0.25">
      <c r="A39" t="s">
        <v>386</v>
      </c>
      <c r="B39" s="24">
        <f>Iochpe_Anual!B33</f>
        <v>3630709000</v>
      </c>
      <c r="C39" s="24">
        <f>Iochpe_Anual!C33</f>
        <v>3816761000</v>
      </c>
      <c r="D39" s="24">
        <f>Iochpe_Anual!D33</f>
        <v>4031095000</v>
      </c>
      <c r="E39" s="24">
        <f>Iochpe_Anual!E33</f>
        <v>5262524000</v>
      </c>
      <c r="F39" s="24">
        <f>Iochpe_Anual!F33</f>
        <v>4692404000</v>
      </c>
      <c r="G39" s="24">
        <f>Iochpe_Anual!G33</f>
        <v>4873485000</v>
      </c>
      <c r="H39" s="24">
        <f>Iochpe_Anual!H33</f>
        <v>5495388000</v>
      </c>
      <c r="I39" s="24">
        <f>Iochpe_Anual!I33</f>
        <v>6017790000</v>
      </c>
      <c r="J39" s="24">
        <f>Iochpe_Anual!J33</f>
        <v>7249877000</v>
      </c>
      <c r="K39" s="24">
        <f>Iochpe_2_Tri!K33</f>
        <v>6994904000</v>
      </c>
      <c r="L39" s="24"/>
      <c r="M39" s="24">
        <f t="shared" si="75"/>
        <v>3630709</v>
      </c>
      <c r="N39" s="24">
        <f t="shared" si="66"/>
        <v>3816761</v>
      </c>
      <c r="O39" s="24">
        <f t="shared" si="67"/>
        <v>4031095</v>
      </c>
      <c r="P39" s="24">
        <f t="shared" si="68"/>
        <v>5262524</v>
      </c>
      <c r="Q39" s="24">
        <f t="shared" si="69"/>
        <v>4692404</v>
      </c>
      <c r="R39" s="24">
        <f t="shared" si="70"/>
        <v>4873485</v>
      </c>
      <c r="S39" s="24">
        <f t="shared" si="71"/>
        <v>5495388</v>
      </c>
      <c r="T39" s="24">
        <f t="shared" si="72"/>
        <v>6017790</v>
      </c>
      <c r="U39" s="24">
        <f t="shared" si="73"/>
        <v>7249877</v>
      </c>
      <c r="V39" s="24">
        <f t="shared" si="74"/>
        <v>6994904</v>
      </c>
    </row>
    <row r="40" spans="1:33" x14ac:dyDescent="0.25">
      <c r="A40" t="s">
        <v>387</v>
      </c>
      <c r="B40" s="24">
        <f>Iochpe_Anual!B34</f>
        <v>195972000</v>
      </c>
      <c r="C40" s="24">
        <f>Iochpe_Anual!C34</f>
        <v>154462000</v>
      </c>
      <c r="D40" s="24">
        <f>Iochpe_Anual!D34</f>
        <v>125990000</v>
      </c>
      <c r="E40" s="24">
        <f>Iochpe_Anual!E34</f>
        <v>144210000</v>
      </c>
      <c r="F40" s="24">
        <f>Iochpe_Anual!F34</f>
        <v>289053000</v>
      </c>
      <c r="G40" s="24">
        <f>Iochpe_Anual!G34</f>
        <v>382631000</v>
      </c>
      <c r="H40" s="24">
        <f>Iochpe_Anual!H34</f>
        <v>383180000</v>
      </c>
      <c r="I40" s="24">
        <f>Iochpe_Anual!I34</f>
        <v>538299000</v>
      </c>
      <c r="J40" s="24">
        <f>Iochpe_Anual!J34</f>
        <v>629630000</v>
      </c>
      <c r="K40" s="24">
        <f>Iochpe_2_Tri!K34</f>
        <v>765840000</v>
      </c>
      <c r="L40" s="24"/>
      <c r="M40" s="24">
        <f t="shared" si="75"/>
        <v>195972</v>
      </c>
      <c r="N40" s="24">
        <f t="shared" si="66"/>
        <v>154462</v>
      </c>
      <c r="O40" s="24">
        <f t="shared" si="67"/>
        <v>125990</v>
      </c>
      <c r="P40" s="24">
        <f t="shared" si="68"/>
        <v>144210</v>
      </c>
      <c r="Q40" s="24">
        <f t="shared" si="69"/>
        <v>289053</v>
      </c>
      <c r="R40" s="24">
        <f t="shared" si="70"/>
        <v>382631</v>
      </c>
      <c r="S40" s="24">
        <f t="shared" si="71"/>
        <v>383180</v>
      </c>
      <c r="T40" s="24">
        <f t="shared" si="72"/>
        <v>538299</v>
      </c>
      <c r="U40" s="24">
        <f t="shared" si="73"/>
        <v>629630</v>
      </c>
      <c r="V40" s="24">
        <f t="shared" si="74"/>
        <v>765840</v>
      </c>
    </row>
    <row r="41" spans="1:33" x14ac:dyDescent="0.25">
      <c r="A41" t="s">
        <v>388</v>
      </c>
      <c r="B41" s="24">
        <f>Iochpe_Anual!B59</f>
        <v>104000</v>
      </c>
      <c r="C41" s="24">
        <f>Iochpe_Anual!C59</f>
        <v>19397000</v>
      </c>
      <c r="D41" s="24">
        <f>Iochpe_Anual!D59</f>
        <v>12354000</v>
      </c>
      <c r="E41" s="24">
        <f>Iochpe_Anual!E59</f>
        <v>73020000</v>
      </c>
      <c r="F41" s="24">
        <f>Iochpe_Anual!F59</f>
        <v>81425000</v>
      </c>
      <c r="G41" s="24">
        <f>Iochpe_Anual!G59</f>
        <v>47339000</v>
      </c>
      <c r="H41" s="24">
        <f>Iochpe_Anual!H59</f>
        <v>46803000</v>
      </c>
      <c r="I41" s="24">
        <f>Iochpe_Anual!I59</f>
        <v>74612000</v>
      </c>
      <c r="J41" s="24">
        <f>Iochpe_Anual!J59</f>
        <v>95283000</v>
      </c>
      <c r="K41" s="24">
        <f>Iochpe_2_Tri!K59</f>
        <v>101125000</v>
      </c>
      <c r="L41" s="24"/>
      <c r="M41" s="24">
        <f t="shared" si="75"/>
        <v>104</v>
      </c>
      <c r="N41" s="24">
        <f t="shared" si="66"/>
        <v>19397</v>
      </c>
      <c r="O41" s="24">
        <f t="shared" si="67"/>
        <v>12354</v>
      </c>
      <c r="P41" s="24">
        <f t="shared" si="68"/>
        <v>73020</v>
      </c>
      <c r="Q41" s="24">
        <f t="shared" si="69"/>
        <v>81425</v>
      </c>
      <c r="R41" s="24">
        <f t="shared" si="70"/>
        <v>47339</v>
      </c>
      <c r="S41" s="24">
        <f t="shared" si="71"/>
        <v>46803</v>
      </c>
      <c r="T41" s="24">
        <f t="shared" si="72"/>
        <v>74612</v>
      </c>
      <c r="U41" s="24">
        <f t="shared" si="73"/>
        <v>95283</v>
      </c>
      <c r="V41" s="24">
        <f t="shared" si="74"/>
        <v>101125</v>
      </c>
    </row>
    <row r="42" spans="1:33" x14ac:dyDescent="0.25">
      <c r="A42" t="s">
        <v>389</v>
      </c>
      <c r="B42" s="24">
        <f>Iochpe_Anual!B66</f>
        <v>2565544000</v>
      </c>
      <c r="C42" s="24">
        <f>Iochpe_Anual!C66</f>
        <v>2616897000</v>
      </c>
      <c r="D42" s="24">
        <f>Iochpe_Anual!D66</f>
        <v>2741962000</v>
      </c>
      <c r="E42" s="24">
        <f>Iochpe_Anual!E66</f>
        <v>3358914000</v>
      </c>
      <c r="F42" s="24">
        <f>Iochpe_Anual!F66</f>
        <v>2919881000</v>
      </c>
      <c r="G42" s="24">
        <f>Iochpe_Anual!G66</f>
        <v>3023091000</v>
      </c>
      <c r="H42" s="24">
        <f>Iochpe_Anual!H66</f>
        <v>3398325000</v>
      </c>
      <c r="I42" s="24">
        <f>Iochpe_Anual!I66</f>
        <v>3664744000</v>
      </c>
      <c r="J42" s="24">
        <f>Iochpe_Anual!J66</f>
        <v>4305084000</v>
      </c>
      <c r="K42" s="24">
        <f>Iochpe_2_Tri!K66</f>
        <v>3990803000</v>
      </c>
      <c r="L42" s="24"/>
      <c r="M42" s="24">
        <f t="shared" si="75"/>
        <v>2565544</v>
      </c>
      <c r="N42" s="24">
        <f t="shared" si="66"/>
        <v>2616897</v>
      </c>
      <c r="O42" s="24">
        <f t="shared" si="67"/>
        <v>2741962</v>
      </c>
      <c r="P42" s="24">
        <f t="shared" si="68"/>
        <v>3358914</v>
      </c>
      <c r="Q42" s="24">
        <f t="shared" si="69"/>
        <v>2919881</v>
      </c>
      <c r="R42" s="24">
        <f t="shared" si="70"/>
        <v>3023091</v>
      </c>
      <c r="S42" s="24">
        <f t="shared" si="71"/>
        <v>3398325</v>
      </c>
      <c r="T42" s="24">
        <f t="shared" si="72"/>
        <v>3664744</v>
      </c>
      <c r="U42" s="24">
        <f t="shared" si="73"/>
        <v>4305084</v>
      </c>
      <c r="V42" s="24">
        <f t="shared" si="74"/>
        <v>3990803</v>
      </c>
    </row>
    <row r="43" spans="1:33" x14ac:dyDescent="0.25">
      <c r="A43" t="s">
        <v>390</v>
      </c>
      <c r="B43" s="24">
        <f>Iochpe_Anual!B70</f>
        <v>869089000</v>
      </c>
      <c r="C43" s="24">
        <f>Iochpe_Anual!C70</f>
        <v>1026005000</v>
      </c>
      <c r="D43" s="24">
        <f>Iochpe_Anual!D70</f>
        <v>1150789000</v>
      </c>
      <c r="E43" s="24">
        <f>Iochpe_Anual!E70</f>
        <v>1686380000</v>
      </c>
      <c r="F43" s="24">
        <f>Iochpe_Anual!F70</f>
        <v>1402045000</v>
      </c>
      <c r="G43" s="24">
        <f>Iochpe_Anual!G70</f>
        <v>1420424000</v>
      </c>
      <c r="H43" s="24">
        <f>Iochpe_Anual!H70</f>
        <v>1667080000</v>
      </c>
      <c r="I43" s="24">
        <f>Iochpe_Anual!I70</f>
        <v>1740135000</v>
      </c>
      <c r="J43" s="24">
        <f>Iochpe_Anual!J70</f>
        <v>2219880000</v>
      </c>
      <c r="K43" s="24">
        <f>Iochpe_2_Tri!K70</f>
        <v>2137136000</v>
      </c>
      <c r="L43" s="24"/>
      <c r="M43" s="24">
        <f t="shared" si="75"/>
        <v>869089</v>
      </c>
      <c r="N43" s="24">
        <f t="shared" si="66"/>
        <v>1026005</v>
      </c>
      <c r="O43" s="24">
        <f t="shared" si="67"/>
        <v>1150789</v>
      </c>
      <c r="P43" s="24">
        <f t="shared" si="68"/>
        <v>1686380</v>
      </c>
      <c r="Q43" s="24">
        <f t="shared" si="69"/>
        <v>1402045</v>
      </c>
      <c r="R43" s="24">
        <f t="shared" si="70"/>
        <v>1420424</v>
      </c>
      <c r="S43" s="24">
        <f t="shared" si="71"/>
        <v>1667080</v>
      </c>
      <c r="T43" s="24">
        <f t="shared" si="72"/>
        <v>1740135</v>
      </c>
      <c r="U43" s="24">
        <f t="shared" si="73"/>
        <v>2219880</v>
      </c>
      <c r="V43" s="24">
        <f t="shared" si="74"/>
        <v>2137136</v>
      </c>
    </row>
    <row r="44" spans="1:33" x14ac:dyDescent="0.25">
      <c r="A44" t="s">
        <v>472</v>
      </c>
      <c r="B44" s="24">
        <f>B39-SUM(B40:B43)</f>
        <v>0</v>
      </c>
      <c r="C44" s="24">
        <f t="shared" ref="C44:J44" si="87">C39-SUM(C40:C43)</f>
        <v>0</v>
      </c>
      <c r="D44" s="24">
        <f t="shared" si="87"/>
        <v>0</v>
      </c>
      <c r="E44" s="24">
        <f t="shared" si="87"/>
        <v>0</v>
      </c>
      <c r="F44" s="24">
        <f t="shared" si="87"/>
        <v>0</v>
      </c>
      <c r="G44" s="24">
        <f t="shared" si="87"/>
        <v>0</v>
      </c>
      <c r="H44" s="24">
        <f t="shared" si="87"/>
        <v>0</v>
      </c>
      <c r="I44" s="24">
        <f t="shared" si="87"/>
        <v>0</v>
      </c>
      <c r="J44" s="24">
        <f t="shared" si="87"/>
        <v>0</v>
      </c>
      <c r="K44" s="24">
        <f>K39-SUM(K40:K43)</f>
        <v>0</v>
      </c>
      <c r="L44" s="24"/>
      <c r="M44" s="24">
        <f t="shared" ref="M44" si="88">B44/1000</f>
        <v>0</v>
      </c>
      <c r="N44" s="24">
        <f t="shared" ref="N44" si="89">C44/1000</f>
        <v>0</v>
      </c>
      <c r="O44" s="24">
        <f t="shared" ref="O44" si="90">D44/1000</f>
        <v>0</v>
      </c>
      <c r="P44" s="24">
        <f t="shared" ref="P44" si="91">E44/1000</f>
        <v>0</v>
      </c>
      <c r="Q44" s="24">
        <f t="shared" ref="Q44" si="92">F44/1000</f>
        <v>0</v>
      </c>
      <c r="R44" s="24">
        <f t="shared" ref="R44" si="93">G44/1000</f>
        <v>0</v>
      </c>
      <c r="S44" s="24">
        <f t="shared" ref="S44" si="94">H44/1000</f>
        <v>0</v>
      </c>
      <c r="T44" s="24">
        <f t="shared" ref="T44" si="95">I44/1000</f>
        <v>0</v>
      </c>
      <c r="U44" s="24">
        <f t="shared" ref="U44" si="96">J44/1000</f>
        <v>0</v>
      </c>
      <c r="V44" s="24">
        <f t="shared" ref="V44" si="97">K44/1000</f>
        <v>0</v>
      </c>
    </row>
    <row r="45" spans="1:33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33" x14ac:dyDescent="0.25">
      <c r="A46" t="str">
        <f>[1]GOAU3!A77</f>
        <v xml:space="preserve"> Passivo e patrimonio liq</v>
      </c>
      <c r="B46" s="24">
        <f>Iochpe_Anual!B77</f>
        <v>5785582000</v>
      </c>
      <c r="C46" s="24">
        <f>Iochpe_Anual!C77</f>
        <v>6035705000</v>
      </c>
      <c r="D46" s="24">
        <f>Iochpe_Anual!D77</f>
        <v>6289024000</v>
      </c>
      <c r="E46" s="24">
        <f>Iochpe_Anual!E77</f>
        <v>7990379000</v>
      </c>
      <c r="F46" s="24">
        <f>Iochpe_Anual!F77</f>
        <v>7057115000</v>
      </c>
      <c r="G46" s="24">
        <f>Iochpe_Anual!G77</f>
        <v>7922248000</v>
      </c>
      <c r="H46" s="24">
        <f>Iochpe_Anual!H77</f>
        <v>9019190000</v>
      </c>
      <c r="I46" s="24">
        <f>Iochpe_Anual!I77</f>
        <v>9375411000</v>
      </c>
      <c r="J46" s="24">
        <f>Iochpe_Anual!J77</f>
        <v>12411803000</v>
      </c>
      <c r="K46" s="24">
        <f>Iochpe_2_Tri!K77</f>
        <v>13203278000</v>
      </c>
      <c r="L46" s="24"/>
      <c r="M46" s="24">
        <f t="shared" ref="M46:M59" si="98">B46/1000</f>
        <v>5785582</v>
      </c>
      <c r="N46" s="24">
        <f t="shared" ref="N46:N59" si="99">C46/1000</f>
        <v>6035705</v>
      </c>
      <c r="O46" s="24">
        <f t="shared" ref="O46:O59" si="100">D46/1000</f>
        <v>6289024</v>
      </c>
      <c r="P46" s="24">
        <f t="shared" ref="P46:P59" si="101">E46/1000</f>
        <v>7990379</v>
      </c>
      <c r="Q46" s="24">
        <f t="shared" ref="Q46:Q59" si="102">F46/1000</f>
        <v>7057115</v>
      </c>
      <c r="R46" s="24">
        <f t="shared" ref="R46:R59" si="103">G46/1000</f>
        <v>7922248</v>
      </c>
      <c r="S46" s="24">
        <f t="shared" ref="S46:S59" si="104">H46/1000</f>
        <v>9019190</v>
      </c>
      <c r="T46" s="24">
        <f t="shared" ref="T46:T59" si="105">I46/1000</f>
        <v>9375411</v>
      </c>
      <c r="U46" s="24">
        <f t="shared" ref="U46:U59" si="106">J46/1000</f>
        <v>12411803</v>
      </c>
      <c r="V46" s="24">
        <f t="shared" ref="V46:V59" si="107">K46/1000</f>
        <v>13203278</v>
      </c>
      <c r="Y46" s="24">
        <f>M46</f>
        <v>5785582</v>
      </c>
      <c r="Z46" s="24">
        <f t="shared" ref="Z46:AG46" si="108">O46</f>
        <v>6289024</v>
      </c>
      <c r="AA46" s="24">
        <f t="shared" si="108"/>
        <v>7990379</v>
      </c>
      <c r="AB46" s="24">
        <f t="shared" si="108"/>
        <v>7057115</v>
      </c>
      <c r="AC46" s="24">
        <f t="shared" si="108"/>
        <v>7922248</v>
      </c>
      <c r="AD46" s="24">
        <f t="shared" si="108"/>
        <v>9019190</v>
      </c>
      <c r="AE46" s="24">
        <f t="shared" si="108"/>
        <v>9375411</v>
      </c>
      <c r="AF46" s="24">
        <f t="shared" si="108"/>
        <v>12411803</v>
      </c>
      <c r="AG46" s="24">
        <f t="shared" si="108"/>
        <v>13203278</v>
      </c>
    </row>
    <row r="47" spans="1:33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33" x14ac:dyDescent="0.25">
      <c r="A48" t="s">
        <v>476</v>
      </c>
      <c r="B48" s="24">
        <f>Iochpe_Anual!B78</f>
        <v>1808742000</v>
      </c>
      <c r="C48" s="24">
        <f>Iochpe_Anual!C78</f>
        <v>1834151000</v>
      </c>
      <c r="D48" s="24">
        <f>Iochpe_Anual!D78</f>
        <v>2237802000</v>
      </c>
      <c r="E48" s="24">
        <f>Iochpe_Anual!E78</f>
        <v>3088750000</v>
      </c>
      <c r="F48" s="24">
        <f>Iochpe_Anual!F78</f>
        <v>2521719000</v>
      </c>
      <c r="G48" s="24">
        <f>Iochpe_Anual!G78</f>
        <v>3060854000</v>
      </c>
      <c r="H48" s="24">
        <f>Iochpe_Anual!H78</f>
        <v>3261829000</v>
      </c>
      <c r="I48" s="24">
        <f>Iochpe_Anual!I78</f>
        <v>2583618000</v>
      </c>
      <c r="J48" s="24">
        <f>Iochpe_Anual!J78</f>
        <v>4352451000</v>
      </c>
      <c r="K48" s="24">
        <f>Iochpe_2_Tri!K78</f>
        <v>4781777000</v>
      </c>
      <c r="L48" s="24"/>
      <c r="M48" s="24">
        <f t="shared" si="98"/>
        <v>1808742</v>
      </c>
      <c r="N48" s="24">
        <f t="shared" si="99"/>
        <v>1834151</v>
      </c>
      <c r="O48" s="24">
        <f t="shared" si="100"/>
        <v>2237802</v>
      </c>
      <c r="P48" s="24">
        <f t="shared" si="101"/>
        <v>3088750</v>
      </c>
      <c r="Q48" s="24">
        <f t="shared" si="102"/>
        <v>2521719</v>
      </c>
      <c r="R48" s="24">
        <f t="shared" si="103"/>
        <v>3060854</v>
      </c>
      <c r="S48" s="24">
        <f t="shared" si="104"/>
        <v>3261829</v>
      </c>
      <c r="T48" s="24">
        <f t="shared" si="105"/>
        <v>2583618</v>
      </c>
      <c r="U48" s="24">
        <f t="shared" si="106"/>
        <v>4352451</v>
      </c>
      <c r="V48" s="24">
        <f t="shared" si="107"/>
        <v>4781777</v>
      </c>
      <c r="Y48" s="24">
        <f>M48</f>
        <v>1808742</v>
      </c>
      <c r="Z48" s="24">
        <f t="shared" ref="Z48:AG48" si="109">O48</f>
        <v>2237802</v>
      </c>
      <c r="AA48" s="24">
        <f t="shared" si="109"/>
        <v>3088750</v>
      </c>
      <c r="AB48" s="24">
        <f t="shared" si="109"/>
        <v>2521719</v>
      </c>
      <c r="AC48" s="24">
        <f t="shared" si="109"/>
        <v>3060854</v>
      </c>
      <c r="AD48" s="24">
        <f t="shared" si="109"/>
        <v>3261829</v>
      </c>
      <c r="AE48" s="24">
        <f t="shared" si="109"/>
        <v>2583618</v>
      </c>
      <c r="AF48" s="24">
        <f t="shared" si="109"/>
        <v>4352451</v>
      </c>
      <c r="AG48" s="24">
        <f t="shared" si="109"/>
        <v>4781777</v>
      </c>
    </row>
    <row r="49" spans="1:33" x14ac:dyDescent="0.25">
      <c r="A49" t="s">
        <v>473</v>
      </c>
      <c r="B49" s="24">
        <f>Iochpe_Anual!B82</f>
        <v>598033000</v>
      </c>
      <c r="C49" s="24">
        <f>Iochpe_Anual!C82</f>
        <v>630470000</v>
      </c>
      <c r="D49" s="24">
        <f>Iochpe_Anual!D82</f>
        <v>818663000</v>
      </c>
      <c r="E49" s="24">
        <f>Iochpe_Anual!E82</f>
        <v>936491000</v>
      </c>
      <c r="F49" s="24">
        <f>Iochpe_Anual!F82</f>
        <v>856084000</v>
      </c>
      <c r="G49" s="24">
        <f>Iochpe_Anual!G82</f>
        <v>1056299000</v>
      </c>
      <c r="H49" s="24">
        <f>Iochpe_Anual!H82</f>
        <v>1316903000</v>
      </c>
      <c r="I49" s="24">
        <f>Iochpe_Anual!I82</f>
        <v>1126821000</v>
      </c>
      <c r="J49" s="24">
        <f>Iochpe_Anual!J82</f>
        <v>1463594000</v>
      </c>
      <c r="K49" s="24">
        <f>Iochpe_2_Tri!K82</f>
        <v>1700511000</v>
      </c>
      <c r="L49" s="24"/>
      <c r="M49" s="24">
        <f t="shared" ref="M49:M52" si="110">B49/1000</f>
        <v>598033</v>
      </c>
      <c r="N49" s="24">
        <f t="shared" ref="N49:N52" si="111">C49/1000</f>
        <v>630470</v>
      </c>
      <c r="O49" s="24">
        <f t="shared" ref="O49:O52" si="112">D49/1000</f>
        <v>818663</v>
      </c>
      <c r="P49" s="24">
        <f t="shared" ref="P49:P52" si="113">E49/1000</f>
        <v>936491</v>
      </c>
      <c r="Q49" s="24">
        <f t="shared" ref="Q49:Q52" si="114">F49/1000</f>
        <v>856084</v>
      </c>
      <c r="R49" s="24">
        <f t="shared" ref="R49:R52" si="115">G49/1000</f>
        <v>1056299</v>
      </c>
      <c r="S49" s="24">
        <f t="shared" ref="S49:S52" si="116">H49/1000</f>
        <v>1316903</v>
      </c>
      <c r="T49" s="24">
        <f t="shared" ref="T49:T52" si="117">I49/1000</f>
        <v>1126821</v>
      </c>
      <c r="U49" s="24">
        <f t="shared" ref="U49:U52" si="118">J49/1000</f>
        <v>1463594</v>
      </c>
      <c r="V49" s="24">
        <f t="shared" ref="V49:V52" si="119">K49/1000</f>
        <v>1700511</v>
      </c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x14ac:dyDescent="0.25">
      <c r="A50" t="s">
        <v>474</v>
      </c>
      <c r="B50" s="24">
        <f>Iochpe_Anual!B91</f>
        <v>813129000</v>
      </c>
      <c r="C50" s="24">
        <f>Iochpe_Anual!C91</f>
        <v>712303000</v>
      </c>
      <c r="D50" s="24">
        <f>Iochpe_Anual!D91</f>
        <v>1071044000</v>
      </c>
      <c r="E50" s="24">
        <f>Iochpe_Anual!E91</f>
        <v>1684702000</v>
      </c>
      <c r="F50" s="24">
        <f>Iochpe_Anual!F91</f>
        <v>1182808000</v>
      </c>
      <c r="G50" s="24">
        <f>Iochpe_Anual!G91</f>
        <v>1352544000</v>
      </c>
      <c r="H50" s="24">
        <f>Iochpe_Anual!H91</f>
        <v>1076149000</v>
      </c>
      <c r="I50" s="24">
        <f>Iochpe_Anual!I91</f>
        <v>648697000</v>
      </c>
      <c r="J50" s="24">
        <f>Iochpe_Anual!J91</f>
        <v>1907564000</v>
      </c>
      <c r="K50" s="24">
        <f>Iochpe_2_Tri!K91</f>
        <v>1798780000</v>
      </c>
      <c r="L50" s="24"/>
      <c r="M50" s="24">
        <f t="shared" si="110"/>
        <v>813129</v>
      </c>
      <c r="N50" s="24">
        <f t="shared" si="111"/>
        <v>712303</v>
      </c>
      <c r="O50" s="24">
        <f t="shared" si="112"/>
        <v>1071044</v>
      </c>
      <c r="P50" s="24">
        <f t="shared" si="113"/>
        <v>1684702</v>
      </c>
      <c r="Q50" s="24">
        <f t="shared" si="114"/>
        <v>1182808</v>
      </c>
      <c r="R50" s="24">
        <f t="shared" si="115"/>
        <v>1352544</v>
      </c>
      <c r="S50" s="24">
        <f t="shared" si="116"/>
        <v>1076149</v>
      </c>
      <c r="T50" s="24">
        <f t="shared" si="117"/>
        <v>648697</v>
      </c>
      <c r="U50" s="24">
        <f t="shared" si="118"/>
        <v>1907564</v>
      </c>
      <c r="V50" s="24">
        <f t="shared" si="119"/>
        <v>1798780</v>
      </c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x14ac:dyDescent="0.25">
      <c r="A51" t="s">
        <v>475</v>
      </c>
      <c r="B51" s="24">
        <f>Iochpe_Anual!B85</f>
        <v>64251000</v>
      </c>
      <c r="C51" s="24">
        <f>Iochpe_Anual!C85</f>
        <v>81486000</v>
      </c>
      <c r="D51" s="24">
        <f>Iochpe_Anual!D85</f>
        <v>55792000</v>
      </c>
      <c r="E51" s="24">
        <f>Iochpe_Anual!E85</f>
        <v>55897000</v>
      </c>
      <c r="F51" s="24">
        <f>Iochpe_Anual!F85</f>
        <v>77103000</v>
      </c>
      <c r="G51" s="24">
        <f>Iochpe_Anual!G85</f>
        <v>133550000</v>
      </c>
      <c r="H51" s="24">
        <f>Iochpe_Anual!H85</f>
        <v>121901000</v>
      </c>
      <c r="I51" s="24">
        <f>Iochpe_Anual!I85</f>
        <v>121060000</v>
      </c>
      <c r="J51" s="24">
        <f>Iochpe_Anual!J85</f>
        <v>90868000</v>
      </c>
      <c r="K51" s="24">
        <f>Iochpe_2_Tri!K85</f>
        <v>220606000</v>
      </c>
      <c r="L51" s="24"/>
      <c r="M51" s="24">
        <f t="shared" si="110"/>
        <v>64251</v>
      </c>
      <c r="N51" s="24">
        <f t="shared" si="111"/>
        <v>81486</v>
      </c>
      <c r="O51" s="24">
        <f t="shared" si="112"/>
        <v>55792</v>
      </c>
      <c r="P51" s="24">
        <f t="shared" si="113"/>
        <v>55897</v>
      </c>
      <c r="Q51" s="24">
        <f t="shared" si="114"/>
        <v>77103</v>
      </c>
      <c r="R51" s="24">
        <f t="shared" si="115"/>
        <v>133550</v>
      </c>
      <c r="S51" s="24">
        <f t="shared" si="116"/>
        <v>121901</v>
      </c>
      <c r="T51" s="24">
        <f t="shared" si="117"/>
        <v>121060</v>
      </c>
      <c r="U51" s="24">
        <f t="shared" si="118"/>
        <v>90868</v>
      </c>
      <c r="V51" s="24">
        <f t="shared" si="119"/>
        <v>220606</v>
      </c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t="s">
        <v>472</v>
      </c>
      <c r="B52" s="24">
        <f>B48-SUM(B49:B51)</f>
        <v>333329000</v>
      </c>
      <c r="C52" s="24">
        <f t="shared" ref="C52:J52" si="120">C48-SUM(C49:C51)</f>
        <v>409892000</v>
      </c>
      <c r="D52" s="24">
        <f t="shared" si="120"/>
        <v>292303000</v>
      </c>
      <c r="E52" s="24">
        <f t="shared" si="120"/>
        <v>411660000</v>
      </c>
      <c r="F52" s="24">
        <f t="shared" si="120"/>
        <v>405724000</v>
      </c>
      <c r="G52" s="24">
        <f t="shared" si="120"/>
        <v>518461000</v>
      </c>
      <c r="H52" s="24">
        <f t="shared" si="120"/>
        <v>746876000</v>
      </c>
      <c r="I52" s="24">
        <f t="shared" si="120"/>
        <v>687040000</v>
      </c>
      <c r="J52" s="24">
        <f t="shared" si="120"/>
        <v>890425000</v>
      </c>
      <c r="K52" s="24">
        <f>K48-SUM(K49:K51)</f>
        <v>1061880000</v>
      </c>
      <c r="L52" s="24"/>
      <c r="M52" s="24">
        <f t="shared" si="110"/>
        <v>333329</v>
      </c>
      <c r="N52" s="24">
        <f t="shared" si="111"/>
        <v>409892</v>
      </c>
      <c r="O52" s="24">
        <f t="shared" si="112"/>
        <v>292303</v>
      </c>
      <c r="P52" s="24">
        <f t="shared" si="113"/>
        <v>411660</v>
      </c>
      <c r="Q52" s="24">
        <f t="shared" si="114"/>
        <v>405724</v>
      </c>
      <c r="R52" s="24">
        <f t="shared" si="115"/>
        <v>518461</v>
      </c>
      <c r="S52" s="24">
        <f t="shared" si="116"/>
        <v>746876</v>
      </c>
      <c r="T52" s="24">
        <f t="shared" si="117"/>
        <v>687040</v>
      </c>
      <c r="U52" s="24">
        <f t="shared" si="118"/>
        <v>890425</v>
      </c>
      <c r="V52" s="24">
        <f t="shared" si="119"/>
        <v>1061880</v>
      </c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33" x14ac:dyDescent="0.25">
      <c r="A54" t="s">
        <v>477</v>
      </c>
      <c r="B54" s="24">
        <f>Iochpe_Anual!B123</f>
        <v>2885930000</v>
      </c>
      <c r="C54" s="24">
        <f>Iochpe_Anual!C123</f>
        <v>2756394000</v>
      </c>
      <c r="D54" s="24">
        <f>Iochpe_Anual!D123</f>
        <v>2446719000</v>
      </c>
      <c r="E54" s="24">
        <f>Iochpe_Anual!E123</f>
        <v>2445139000</v>
      </c>
      <c r="F54" s="24">
        <f>Iochpe_Anual!F123</f>
        <v>2518319000</v>
      </c>
      <c r="G54" s="24">
        <f>Iochpe_Anual!G123</f>
        <v>2230889000</v>
      </c>
      <c r="H54" s="24">
        <f>Iochpe_Anual!H123</f>
        <v>2558834000</v>
      </c>
      <c r="I54" s="24">
        <f>Iochpe_Anual!I123</f>
        <v>3294817000</v>
      </c>
      <c r="J54" s="24">
        <f>Iochpe_Anual!J123</f>
        <v>4256591000</v>
      </c>
      <c r="K54" s="24">
        <f>Iochpe_2_Tri!K123</f>
        <v>4528308000</v>
      </c>
      <c r="L54" s="24"/>
      <c r="M54" s="24">
        <f t="shared" si="98"/>
        <v>2885930</v>
      </c>
      <c r="N54" s="24">
        <f t="shared" si="99"/>
        <v>2756394</v>
      </c>
      <c r="O54" s="24">
        <f t="shared" si="100"/>
        <v>2446719</v>
      </c>
      <c r="P54" s="24">
        <f t="shared" si="101"/>
        <v>2445139</v>
      </c>
      <c r="Q54" s="24">
        <f t="shared" si="102"/>
        <v>2518319</v>
      </c>
      <c r="R54" s="24">
        <f t="shared" si="103"/>
        <v>2230889</v>
      </c>
      <c r="S54" s="24">
        <f t="shared" si="104"/>
        <v>2558834</v>
      </c>
      <c r="T54" s="24">
        <f t="shared" si="105"/>
        <v>3294817</v>
      </c>
      <c r="U54" s="24">
        <f t="shared" si="106"/>
        <v>4256591</v>
      </c>
      <c r="V54" s="24">
        <f t="shared" si="107"/>
        <v>4528308</v>
      </c>
      <c r="Y54" s="24">
        <f>M54</f>
        <v>2885930</v>
      </c>
      <c r="Z54" s="24">
        <f t="shared" ref="Z54:AG54" si="121">O54</f>
        <v>2446719</v>
      </c>
      <c r="AA54" s="24">
        <f t="shared" si="121"/>
        <v>2445139</v>
      </c>
      <c r="AB54" s="24">
        <f t="shared" si="121"/>
        <v>2518319</v>
      </c>
      <c r="AC54" s="24">
        <f t="shared" si="121"/>
        <v>2230889</v>
      </c>
      <c r="AD54" s="24">
        <f t="shared" si="121"/>
        <v>2558834</v>
      </c>
      <c r="AE54" s="24">
        <f t="shared" si="121"/>
        <v>3294817</v>
      </c>
      <c r="AF54" s="24">
        <f t="shared" si="121"/>
        <v>4256591</v>
      </c>
      <c r="AG54" s="24">
        <f t="shared" si="121"/>
        <v>4528308</v>
      </c>
    </row>
    <row r="55" spans="1:33" x14ac:dyDescent="0.25">
      <c r="A55" t="s">
        <v>474</v>
      </c>
      <c r="B55" s="24">
        <f>Iochpe_Anual!B125+Iochpe_Anual!B128</f>
        <v>2187776000</v>
      </c>
      <c r="C55" s="24">
        <f>Iochpe_Anual!C125+Iochpe_Anual!C128</f>
        <v>2061181000</v>
      </c>
      <c r="D55" s="24">
        <f>Iochpe_Anual!D125+Iochpe_Anual!D128</f>
        <v>1821362000</v>
      </c>
      <c r="E55" s="24">
        <f>Iochpe_Anual!E125+Iochpe_Anual!E128</f>
        <v>1730153000</v>
      </c>
      <c r="F55" s="24">
        <f>Iochpe_Anual!F125+Iochpe_Anual!F128</f>
        <v>1877277000</v>
      </c>
      <c r="G55" s="24">
        <f>Iochpe_Anual!G125+Iochpe_Anual!G128</f>
        <v>1490732000</v>
      </c>
      <c r="H55" s="24">
        <f>Iochpe_Anual!H125+Iochpe_Anual!H128</f>
        <v>1737556000</v>
      </c>
      <c r="I55" s="24">
        <f>Iochpe_Anual!I125+Iochpe_Anual!I128</f>
        <v>2412886000</v>
      </c>
      <c r="J55" s="24">
        <f>Iochpe_Anual!J125+Iochpe_Anual!J128</f>
        <v>3212825000</v>
      </c>
      <c r="K55" s="24">
        <f>Iochpe_2_Tri!K125+Iochpe_2_Tri!K128</f>
        <v>3574364000</v>
      </c>
      <c r="L55" s="24"/>
      <c r="M55" s="24">
        <f t="shared" ref="M55:M57" si="122">B55/1000</f>
        <v>2187776</v>
      </c>
      <c r="N55" s="24">
        <f t="shared" ref="N55:N57" si="123">C55/1000</f>
        <v>2061181</v>
      </c>
      <c r="O55" s="24">
        <f t="shared" ref="O55:O57" si="124">D55/1000</f>
        <v>1821362</v>
      </c>
      <c r="P55" s="24">
        <f t="shared" ref="P55:P57" si="125">E55/1000</f>
        <v>1730153</v>
      </c>
      <c r="Q55" s="24">
        <f t="shared" ref="Q55:Q57" si="126">F55/1000</f>
        <v>1877277</v>
      </c>
      <c r="R55" s="24">
        <f t="shared" ref="R55:R57" si="127">G55/1000</f>
        <v>1490732</v>
      </c>
      <c r="S55" s="24">
        <f t="shared" ref="S55:S57" si="128">H55/1000</f>
        <v>1737556</v>
      </c>
      <c r="T55" s="24">
        <f t="shared" ref="T55:T57" si="129">I55/1000</f>
        <v>2412886</v>
      </c>
      <c r="U55" s="24">
        <f t="shared" ref="U55:U57" si="130">J55/1000</f>
        <v>3212825</v>
      </c>
      <c r="V55" s="24">
        <f t="shared" ref="V55:V57" si="131">K55/1000</f>
        <v>3574364</v>
      </c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x14ac:dyDescent="0.25">
      <c r="A56" t="s">
        <v>478</v>
      </c>
      <c r="B56" s="24">
        <f>Iochpe_Anual!B142</f>
        <v>406177000</v>
      </c>
      <c r="C56" s="24">
        <f>Iochpe_Anual!C142</f>
        <v>431062000</v>
      </c>
      <c r="D56" s="24">
        <f>Iochpe_Anual!D142</f>
        <v>399373000</v>
      </c>
      <c r="E56" s="24">
        <f>Iochpe_Anual!E142</f>
        <v>510978000</v>
      </c>
      <c r="F56" s="24">
        <f>Iochpe_Anual!F142</f>
        <v>453807000</v>
      </c>
      <c r="G56" s="24">
        <f>Iochpe_Anual!G142</f>
        <v>521900000</v>
      </c>
      <c r="H56" s="24">
        <f>Iochpe_Anual!H142</f>
        <v>576203000</v>
      </c>
      <c r="I56" s="24">
        <f>Iochpe_Anual!I142</f>
        <v>599685000</v>
      </c>
      <c r="J56" s="24">
        <f>Iochpe_Anual!J142</f>
        <v>781352000</v>
      </c>
      <c r="K56" s="24">
        <f>Iochpe_2_Tri!K142</f>
        <v>729460000</v>
      </c>
      <c r="L56" s="24"/>
      <c r="M56" s="24">
        <f t="shared" si="122"/>
        <v>406177</v>
      </c>
      <c r="N56" s="24">
        <f t="shared" si="123"/>
        <v>431062</v>
      </c>
      <c r="O56" s="24">
        <f t="shared" si="124"/>
        <v>399373</v>
      </c>
      <c r="P56" s="24">
        <f t="shared" si="125"/>
        <v>510978</v>
      </c>
      <c r="Q56" s="24">
        <f t="shared" si="126"/>
        <v>453807</v>
      </c>
      <c r="R56" s="24">
        <f t="shared" si="127"/>
        <v>521900</v>
      </c>
      <c r="S56" s="24">
        <f t="shared" si="128"/>
        <v>576203</v>
      </c>
      <c r="T56" s="24">
        <f t="shared" si="129"/>
        <v>599685</v>
      </c>
      <c r="U56" s="24">
        <f t="shared" si="130"/>
        <v>781352</v>
      </c>
      <c r="V56" s="24">
        <f t="shared" si="131"/>
        <v>729460</v>
      </c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x14ac:dyDescent="0.25">
      <c r="A57" t="s">
        <v>472</v>
      </c>
      <c r="B57" s="24">
        <f>B54-SUM(B55:B56)</f>
        <v>291977000</v>
      </c>
      <c r="C57" s="24">
        <f t="shared" ref="C57:J57" si="132">C54-SUM(C55:C56)</f>
        <v>264151000</v>
      </c>
      <c r="D57" s="24">
        <f t="shared" si="132"/>
        <v>225984000</v>
      </c>
      <c r="E57" s="24">
        <f t="shared" si="132"/>
        <v>204008000</v>
      </c>
      <c r="F57" s="24">
        <f t="shared" si="132"/>
        <v>187235000</v>
      </c>
      <c r="G57" s="24">
        <f t="shared" si="132"/>
        <v>218257000</v>
      </c>
      <c r="H57" s="24">
        <f t="shared" si="132"/>
        <v>245075000</v>
      </c>
      <c r="I57" s="24">
        <f t="shared" si="132"/>
        <v>282246000</v>
      </c>
      <c r="J57" s="24">
        <f t="shared" si="132"/>
        <v>262414000</v>
      </c>
      <c r="K57" s="24">
        <f>K54-SUM(K55:K56)</f>
        <v>224484000</v>
      </c>
      <c r="L57" s="24"/>
      <c r="M57" s="24">
        <f t="shared" si="122"/>
        <v>291977</v>
      </c>
      <c r="N57" s="24">
        <f t="shared" si="123"/>
        <v>264151</v>
      </c>
      <c r="O57" s="24">
        <f t="shared" si="124"/>
        <v>225984</v>
      </c>
      <c r="P57" s="24">
        <f t="shared" si="125"/>
        <v>204008</v>
      </c>
      <c r="Q57" s="24">
        <f t="shared" si="126"/>
        <v>187235</v>
      </c>
      <c r="R57" s="24">
        <f t="shared" si="127"/>
        <v>218257</v>
      </c>
      <c r="S57" s="24">
        <f t="shared" si="128"/>
        <v>245075</v>
      </c>
      <c r="T57" s="24">
        <f t="shared" si="129"/>
        <v>282246</v>
      </c>
      <c r="U57" s="24">
        <f t="shared" si="130"/>
        <v>262414</v>
      </c>
      <c r="V57" s="24">
        <f t="shared" si="131"/>
        <v>224484</v>
      </c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33" x14ac:dyDescent="0.25">
      <c r="A59" t="s">
        <v>479</v>
      </c>
      <c r="B59" s="24">
        <f>Iochpe_Anual!B161</f>
        <v>1090910000</v>
      </c>
      <c r="C59" s="24">
        <f>Iochpe_Anual!C161</f>
        <v>1445160000</v>
      </c>
      <c r="D59" s="24">
        <f>Iochpe_Anual!D161</f>
        <v>1604503000</v>
      </c>
      <c r="E59" s="24">
        <f>Iochpe_Anual!E161</f>
        <v>2456490000</v>
      </c>
      <c r="F59" s="24">
        <f>Iochpe_Anual!F161</f>
        <v>2017077000</v>
      </c>
      <c r="G59" s="24">
        <f>Iochpe_Anual!G161</f>
        <v>2630505000</v>
      </c>
      <c r="H59" s="24">
        <f>Iochpe_Anual!H161</f>
        <v>3198527000</v>
      </c>
      <c r="I59" s="24">
        <f>Iochpe_Anual!I161</f>
        <v>3496976000</v>
      </c>
      <c r="J59" s="24">
        <f>Iochpe_Anual!J161</f>
        <v>3802761000</v>
      </c>
      <c r="K59" s="24">
        <f>Iochpe_2_Tri!K161</f>
        <v>3893193000</v>
      </c>
      <c r="L59" s="24"/>
      <c r="M59" s="24">
        <f t="shared" si="98"/>
        <v>1090910</v>
      </c>
      <c r="N59" s="24">
        <f t="shared" si="99"/>
        <v>1445160</v>
      </c>
      <c r="O59" s="24">
        <f t="shared" si="100"/>
        <v>1604503</v>
      </c>
      <c r="P59" s="24">
        <f t="shared" si="101"/>
        <v>2456490</v>
      </c>
      <c r="Q59" s="24">
        <f t="shared" si="102"/>
        <v>2017077</v>
      </c>
      <c r="R59" s="24">
        <f t="shared" si="103"/>
        <v>2630505</v>
      </c>
      <c r="S59" s="24">
        <f t="shared" si="104"/>
        <v>3198527</v>
      </c>
      <c r="T59" s="24">
        <f t="shared" si="105"/>
        <v>3496976</v>
      </c>
      <c r="U59" s="24">
        <f t="shared" si="106"/>
        <v>3802761</v>
      </c>
      <c r="V59" s="24">
        <f t="shared" si="107"/>
        <v>3893193</v>
      </c>
      <c r="Y59" s="24">
        <f>M59</f>
        <v>1090910</v>
      </c>
      <c r="Z59" s="24">
        <f t="shared" ref="Z59:AG59" si="133">O59</f>
        <v>1604503</v>
      </c>
      <c r="AA59" s="24">
        <f t="shared" si="133"/>
        <v>2456490</v>
      </c>
      <c r="AB59" s="24">
        <f t="shared" si="133"/>
        <v>2017077</v>
      </c>
      <c r="AC59" s="24">
        <f t="shared" si="133"/>
        <v>2630505</v>
      </c>
      <c r="AD59" s="24">
        <f t="shared" si="133"/>
        <v>3198527</v>
      </c>
      <c r="AE59" s="24">
        <f t="shared" si="133"/>
        <v>3496976</v>
      </c>
      <c r="AF59" s="24">
        <f t="shared" si="133"/>
        <v>3802761</v>
      </c>
      <c r="AG59" s="24">
        <f t="shared" si="133"/>
        <v>3893193</v>
      </c>
    </row>
    <row r="60" spans="1:33" x14ac:dyDescent="0.25">
      <c r="A60" t="s">
        <v>480</v>
      </c>
      <c r="B60" s="24">
        <f>Iochpe_Anual!B164</f>
        <v>650000000</v>
      </c>
      <c r="C60" s="24">
        <f>Iochpe_Anual!C164</f>
        <v>700000000</v>
      </c>
      <c r="D60" s="24">
        <f>Iochpe_Anual!D164</f>
        <v>700000000</v>
      </c>
      <c r="E60" s="24">
        <f>Iochpe_Anual!E164</f>
        <v>700000000</v>
      </c>
      <c r="F60" s="24">
        <f>Iochpe_Anual!F164</f>
        <v>700000000</v>
      </c>
      <c r="G60" s="24">
        <f>Iochpe_Anual!G164</f>
        <v>1277398000</v>
      </c>
      <c r="H60" s="24">
        <f>Iochpe_Anual!H164</f>
        <v>1407536000</v>
      </c>
      <c r="I60" s="24">
        <f>Iochpe_Anual!I164</f>
        <v>1576954000</v>
      </c>
      <c r="J60" s="24">
        <f>Iochpe_Anual!J164</f>
        <v>1576954000</v>
      </c>
      <c r="K60" s="24">
        <f>Iochpe_2_Tri!K164</f>
        <v>1576954000</v>
      </c>
      <c r="L60" s="24"/>
      <c r="M60" s="24">
        <f t="shared" ref="M60:M63" si="134">B60/1000</f>
        <v>650000</v>
      </c>
      <c r="N60" s="24">
        <f t="shared" ref="N60:N63" si="135">C60/1000</f>
        <v>700000</v>
      </c>
      <c r="O60" s="24">
        <f t="shared" ref="O60:O63" si="136">D60/1000</f>
        <v>700000</v>
      </c>
      <c r="P60" s="24">
        <f t="shared" ref="P60:P63" si="137">E60/1000</f>
        <v>700000</v>
      </c>
      <c r="Q60" s="24">
        <f t="shared" ref="Q60:Q63" si="138">F60/1000</f>
        <v>700000</v>
      </c>
      <c r="R60" s="24">
        <f t="shared" ref="R60:R63" si="139">G60/1000</f>
        <v>1277398</v>
      </c>
      <c r="S60" s="24">
        <f t="shared" ref="S60:S63" si="140">H60/1000</f>
        <v>1407536</v>
      </c>
      <c r="T60" s="24">
        <f t="shared" ref="T60:T63" si="141">I60/1000</f>
        <v>1576954</v>
      </c>
      <c r="U60" s="24">
        <f t="shared" ref="U60:U63" si="142">J60/1000</f>
        <v>1576954</v>
      </c>
      <c r="V60" s="24">
        <f t="shared" ref="V60:V63" si="143">K60/1000</f>
        <v>1576954</v>
      </c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x14ac:dyDescent="0.25">
      <c r="A61" t="s">
        <v>481</v>
      </c>
      <c r="B61" s="24">
        <f>Iochpe_Anual!B162</f>
        <v>177872000</v>
      </c>
      <c r="C61" s="24">
        <f>Iochpe_Anual!C162</f>
        <v>224079000</v>
      </c>
      <c r="D61" s="24">
        <f>Iochpe_Anual!D162</f>
        <v>221109000</v>
      </c>
      <c r="E61" s="24">
        <f>Iochpe_Anual!E162</f>
        <v>303043000</v>
      </c>
      <c r="F61" s="24">
        <f>Iochpe_Anual!F162</f>
        <v>233092000</v>
      </c>
      <c r="G61" s="24">
        <f>Iochpe_Anual!G162</f>
        <v>242652000</v>
      </c>
      <c r="H61" s="24">
        <f>Iochpe_Anual!H162</f>
        <v>276577000</v>
      </c>
      <c r="I61" s="24">
        <f>Iochpe_Anual!I162</f>
        <v>268498000</v>
      </c>
      <c r="J61" s="24">
        <f>Iochpe_Anual!J162</f>
        <v>340476000</v>
      </c>
      <c r="K61" s="24">
        <f>Iochpe_2_Tri!K162</f>
        <v>293940000</v>
      </c>
      <c r="L61" s="24"/>
      <c r="M61" s="24">
        <f t="shared" si="134"/>
        <v>177872</v>
      </c>
      <c r="N61" s="24">
        <f t="shared" si="135"/>
        <v>224079</v>
      </c>
      <c r="O61" s="24">
        <f t="shared" si="136"/>
        <v>221109</v>
      </c>
      <c r="P61" s="24">
        <f t="shared" si="137"/>
        <v>303043</v>
      </c>
      <c r="Q61" s="24">
        <f t="shared" si="138"/>
        <v>233092</v>
      </c>
      <c r="R61" s="24">
        <f t="shared" si="139"/>
        <v>242652</v>
      </c>
      <c r="S61" s="24">
        <f t="shared" si="140"/>
        <v>276577</v>
      </c>
      <c r="T61" s="24">
        <f t="shared" si="141"/>
        <v>268498</v>
      </c>
      <c r="U61" s="24">
        <f t="shared" si="142"/>
        <v>340476</v>
      </c>
      <c r="V61" s="24">
        <f t="shared" si="143"/>
        <v>293940</v>
      </c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x14ac:dyDescent="0.25">
      <c r="A62" t="s">
        <v>482</v>
      </c>
      <c r="B62" s="24">
        <f>Iochpe_Anual!B174</f>
        <v>138417000</v>
      </c>
      <c r="C62" s="24">
        <f>Iochpe_Anual!C174</f>
        <v>207812000</v>
      </c>
      <c r="D62" s="24">
        <f>Iochpe_Anual!D174</f>
        <v>256546000</v>
      </c>
      <c r="E62" s="24">
        <f>Iochpe_Anual!E174</f>
        <v>292107000</v>
      </c>
      <c r="F62" s="24">
        <f>Iochpe_Anual!F174</f>
        <v>309893000</v>
      </c>
      <c r="G62" s="24">
        <f>Iochpe_Anual!G174</f>
        <v>319033000</v>
      </c>
      <c r="H62" s="24">
        <f>Iochpe_Anual!H174</f>
        <v>393156000</v>
      </c>
      <c r="I62" s="24">
        <f>Iochpe_Anual!I174</f>
        <v>606530000</v>
      </c>
      <c r="J62" s="24">
        <f>Iochpe_Anual!J174</f>
        <v>120921000</v>
      </c>
      <c r="K62" s="24">
        <f>Iochpe_2_Tri!K174</f>
        <v>120921000</v>
      </c>
      <c r="L62" s="24"/>
      <c r="M62" s="24">
        <f t="shared" si="134"/>
        <v>138417</v>
      </c>
      <c r="N62" s="24">
        <f t="shared" si="135"/>
        <v>207812</v>
      </c>
      <c r="O62" s="24">
        <f t="shared" si="136"/>
        <v>256546</v>
      </c>
      <c r="P62" s="24">
        <f t="shared" si="137"/>
        <v>292107</v>
      </c>
      <c r="Q62" s="24">
        <f t="shared" si="138"/>
        <v>309893</v>
      </c>
      <c r="R62" s="24">
        <f t="shared" si="139"/>
        <v>319033</v>
      </c>
      <c r="S62" s="24">
        <f t="shared" si="140"/>
        <v>393156</v>
      </c>
      <c r="T62" s="24">
        <f t="shared" si="141"/>
        <v>606530</v>
      </c>
      <c r="U62" s="24">
        <f t="shared" si="142"/>
        <v>120921</v>
      </c>
      <c r="V62" s="24">
        <f t="shared" si="143"/>
        <v>120921</v>
      </c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x14ac:dyDescent="0.25">
      <c r="A63" t="s">
        <v>472</v>
      </c>
      <c r="B63" s="24">
        <f>B59-SUM(B60:B62)</f>
        <v>124621000</v>
      </c>
      <c r="C63" s="24">
        <f t="shared" ref="C63:J63" si="144">C59-SUM(C60:C62)</f>
        <v>313269000</v>
      </c>
      <c r="D63" s="24">
        <f t="shared" si="144"/>
        <v>426848000</v>
      </c>
      <c r="E63" s="24">
        <f t="shared" si="144"/>
        <v>1161340000</v>
      </c>
      <c r="F63" s="24">
        <f t="shared" si="144"/>
        <v>774092000</v>
      </c>
      <c r="G63" s="24">
        <f t="shared" si="144"/>
        <v>791422000</v>
      </c>
      <c r="H63" s="24">
        <f t="shared" si="144"/>
        <v>1121258000</v>
      </c>
      <c r="I63" s="24">
        <f t="shared" si="144"/>
        <v>1044994000</v>
      </c>
      <c r="J63" s="24">
        <f t="shared" si="144"/>
        <v>1764410000</v>
      </c>
      <c r="K63" s="24">
        <f>K59-SUM(K60:K62)</f>
        <v>1901378000</v>
      </c>
      <c r="L63" s="24"/>
      <c r="M63" s="24">
        <f t="shared" si="134"/>
        <v>124621</v>
      </c>
      <c r="N63" s="24">
        <f t="shared" si="135"/>
        <v>313269</v>
      </c>
      <c r="O63" s="24">
        <f t="shared" si="136"/>
        <v>426848</v>
      </c>
      <c r="P63" s="24">
        <f t="shared" si="137"/>
        <v>1161340</v>
      </c>
      <c r="Q63" s="24">
        <f t="shared" si="138"/>
        <v>774092</v>
      </c>
      <c r="R63" s="24">
        <f t="shared" si="139"/>
        <v>791422</v>
      </c>
      <c r="S63" s="24">
        <f t="shared" si="140"/>
        <v>1121258</v>
      </c>
      <c r="T63" s="24">
        <f t="shared" si="141"/>
        <v>1044994</v>
      </c>
      <c r="U63" s="24">
        <f t="shared" si="142"/>
        <v>1764410</v>
      </c>
      <c r="V63" s="24">
        <f t="shared" si="143"/>
        <v>1901378</v>
      </c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x14ac:dyDescent="0.25"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33" x14ac:dyDescent="0.25">
      <c r="A65" t="s">
        <v>391</v>
      </c>
      <c r="B65" s="27">
        <f t="shared" ref="B65:J65" si="145">(B48+B54)/B32</f>
        <v>0.81144334312433908</v>
      </c>
      <c r="C65" s="27">
        <f t="shared" si="145"/>
        <v>0.7605648387388052</v>
      </c>
      <c r="D65" s="27">
        <f t="shared" si="145"/>
        <v>0.74487249531882849</v>
      </c>
      <c r="E65" s="27">
        <f t="shared" si="145"/>
        <v>0.69256902582468238</v>
      </c>
      <c r="F65" s="27">
        <f t="shared" si="145"/>
        <v>0.71417824422586285</v>
      </c>
      <c r="G65" s="27">
        <f t="shared" si="145"/>
        <v>0.66795977606356172</v>
      </c>
      <c r="H65" s="27">
        <f t="shared" si="145"/>
        <v>0.64536427328839951</v>
      </c>
      <c r="I65" s="27">
        <f t="shared" si="145"/>
        <v>0.62700557874209462</v>
      </c>
      <c r="J65" s="27">
        <f t="shared" si="145"/>
        <v>0.69361735760710996</v>
      </c>
      <c r="K65" s="27">
        <f>(K48+K54)/K32</f>
        <v>0.70513436133057261</v>
      </c>
      <c r="L65" s="27"/>
      <c r="M65" s="25">
        <f>B65</f>
        <v>0.81144334312433908</v>
      </c>
      <c r="N65" s="25">
        <f t="shared" ref="N65:V66" si="146">C65</f>
        <v>0.7605648387388052</v>
      </c>
      <c r="O65" s="25">
        <f t="shared" si="146"/>
        <v>0.74487249531882849</v>
      </c>
      <c r="P65" s="25">
        <f t="shared" si="146"/>
        <v>0.69256902582468238</v>
      </c>
      <c r="Q65" s="25">
        <f t="shared" si="146"/>
        <v>0.71417824422586285</v>
      </c>
      <c r="R65" s="25">
        <f t="shared" si="146"/>
        <v>0.66795977606356172</v>
      </c>
      <c r="S65" s="25">
        <f t="shared" si="146"/>
        <v>0.64536427328839951</v>
      </c>
      <c r="T65" s="25">
        <f t="shared" si="146"/>
        <v>0.62700557874209462</v>
      </c>
      <c r="U65" s="25">
        <f t="shared" si="146"/>
        <v>0.69361735760710996</v>
      </c>
      <c r="V65" s="25">
        <f t="shared" si="146"/>
        <v>0.70513436133057261</v>
      </c>
      <c r="Y65" s="28">
        <f>M65</f>
        <v>0.81144334312433908</v>
      </c>
      <c r="Z65" s="28">
        <f t="shared" ref="Z65:AG65" si="147">O65</f>
        <v>0.74487249531882849</v>
      </c>
      <c r="AA65" s="28">
        <f t="shared" si="147"/>
        <v>0.69256902582468238</v>
      </c>
      <c r="AB65" s="28">
        <f t="shared" si="147"/>
        <v>0.71417824422586285</v>
      </c>
      <c r="AC65" s="28">
        <f t="shared" si="147"/>
        <v>0.66795977606356172</v>
      </c>
      <c r="AD65" s="28">
        <f t="shared" si="147"/>
        <v>0.64536427328839951</v>
      </c>
      <c r="AE65" s="28">
        <f t="shared" si="147"/>
        <v>0.62700557874209462</v>
      </c>
      <c r="AF65" s="28">
        <f t="shared" si="147"/>
        <v>0.69361735760710996</v>
      </c>
      <c r="AG65" s="28">
        <f t="shared" si="147"/>
        <v>0.70513436133057261</v>
      </c>
    </row>
    <row r="66" spans="1:33" x14ac:dyDescent="0.25">
      <c r="A66" t="s">
        <v>392</v>
      </c>
      <c r="B66" s="27">
        <f t="shared" ref="B66:J66" si="148">B48/B32</f>
        <v>0.31262922209036187</v>
      </c>
      <c r="C66" s="27">
        <f t="shared" si="148"/>
        <v>0.30388347343019578</v>
      </c>
      <c r="D66" s="27">
        <f t="shared" si="148"/>
        <v>0.35582659566889868</v>
      </c>
      <c r="E66" s="27">
        <f t="shared" si="148"/>
        <v>0.38655863507851129</v>
      </c>
      <c r="F66" s="27">
        <f t="shared" si="148"/>
        <v>0.35733001375207857</v>
      </c>
      <c r="G66" s="27">
        <f t="shared" si="148"/>
        <v>0.38636180033747997</v>
      </c>
      <c r="H66" s="27">
        <f t="shared" si="148"/>
        <v>0.3616543170728192</v>
      </c>
      <c r="I66" s="27">
        <f t="shared" si="148"/>
        <v>0.27557383884290515</v>
      </c>
      <c r="J66" s="27">
        <f t="shared" si="148"/>
        <v>0.35067032565695733</v>
      </c>
      <c r="K66" s="27">
        <f>K48/K32</f>
        <v>0.36216589546929179</v>
      </c>
      <c r="M66" s="25">
        <f>B66</f>
        <v>0.31262922209036187</v>
      </c>
      <c r="N66" s="25">
        <f t="shared" si="146"/>
        <v>0.30388347343019578</v>
      </c>
      <c r="O66" s="25">
        <f t="shared" si="146"/>
        <v>0.35582659566889868</v>
      </c>
      <c r="P66" s="25">
        <f t="shared" si="146"/>
        <v>0.38655863507851129</v>
      </c>
      <c r="Q66" s="25">
        <f t="shared" si="146"/>
        <v>0.35733001375207857</v>
      </c>
      <c r="R66" s="25">
        <f t="shared" si="146"/>
        <v>0.38636180033747997</v>
      </c>
      <c r="S66" s="25">
        <f t="shared" si="146"/>
        <v>0.3616543170728192</v>
      </c>
      <c r="T66" s="25">
        <f t="shared" si="146"/>
        <v>0.27557383884290515</v>
      </c>
      <c r="U66" s="25">
        <f t="shared" si="146"/>
        <v>0.35067032565695733</v>
      </c>
      <c r="V66" s="25">
        <f t="shared" si="146"/>
        <v>0.36216589546929179</v>
      </c>
    </row>
    <row r="68" spans="1:33" x14ac:dyDescent="0.25">
      <c r="A68" s="29" t="s">
        <v>393</v>
      </c>
      <c r="B68" s="24"/>
    </row>
    <row r="71" spans="1:33" x14ac:dyDescent="0.25">
      <c r="A71" t="s">
        <v>394</v>
      </c>
      <c r="B71" s="26">
        <f>Iochpe_Anual!B193</f>
        <v>5698513000</v>
      </c>
      <c r="C71" s="26">
        <f>Iochpe_Anual!C193</f>
        <v>6126493000</v>
      </c>
      <c r="D71" s="26">
        <f>Iochpe_Anual!D193</f>
        <v>5911677000</v>
      </c>
      <c r="E71" s="26">
        <f>Iochpe_Anual!E193</f>
        <v>6846456000</v>
      </c>
      <c r="F71" s="26">
        <f>Iochpe_Anual!F193</f>
        <v>6816454000</v>
      </c>
      <c r="G71" s="26">
        <f>Iochpe_Anual!G193</f>
        <v>7487940000</v>
      </c>
      <c r="H71" s="26">
        <f>Iochpe_Anual!H193</f>
        <v>9616299000</v>
      </c>
      <c r="I71" s="26">
        <f>Iochpe_Anual!I193</f>
        <v>10016395000</v>
      </c>
      <c r="J71" s="26">
        <f>Iochpe_Anual!J193</f>
        <v>8760568000</v>
      </c>
      <c r="K71" s="26">
        <f>Iochpe_2_Tri!K193</f>
        <v>11681143000</v>
      </c>
      <c r="M71" s="24">
        <f t="shared" ref="M71:M96" si="149">B71/1000</f>
        <v>5698513</v>
      </c>
      <c r="N71" s="24">
        <f t="shared" ref="N71:N96" si="150">C71/1000</f>
        <v>6126493</v>
      </c>
      <c r="O71" s="24">
        <f t="shared" ref="O71:O96" si="151">D71/1000</f>
        <v>5911677</v>
      </c>
      <c r="P71" s="24">
        <f t="shared" ref="P71:P96" si="152">E71/1000</f>
        <v>6846456</v>
      </c>
      <c r="Q71" s="24">
        <f t="shared" ref="Q71:Q96" si="153">F71/1000</f>
        <v>6816454</v>
      </c>
      <c r="R71" s="24">
        <f t="shared" ref="R71:R96" si="154">G71/1000</f>
        <v>7487940</v>
      </c>
      <c r="S71" s="24">
        <f t="shared" ref="S71:S96" si="155">H71/1000</f>
        <v>9616299</v>
      </c>
      <c r="T71" s="24">
        <f t="shared" ref="T71:T96" si="156">I71/1000</f>
        <v>10016395</v>
      </c>
      <c r="U71" s="24">
        <f t="shared" ref="U71:U96" si="157">J71/1000</f>
        <v>8760568</v>
      </c>
      <c r="V71" s="24">
        <f t="shared" ref="V71:V96" si="158">K71/1000</f>
        <v>11681143</v>
      </c>
      <c r="Y71" s="24">
        <f>M71</f>
        <v>5698513</v>
      </c>
      <c r="Z71" s="24">
        <f t="shared" ref="Z71:AG71" si="159">O71</f>
        <v>5911677</v>
      </c>
      <c r="AA71" s="24">
        <f t="shared" si="159"/>
        <v>6846456</v>
      </c>
      <c r="AB71" s="24">
        <f t="shared" si="159"/>
        <v>6816454</v>
      </c>
      <c r="AC71" s="24">
        <f t="shared" si="159"/>
        <v>7487940</v>
      </c>
      <c r="AD71" s="24">
        <f t="shared" si="159"/>
        <v>9616299</v>
      </c>
      <c r="AE71" s="24">
        <f t="shared" si="159"/>
        <v>10016395</v>
      </c>
      <c r="AF71" s="24">
        <f t="shared" si="159"/>
        <v>8760568</v>
      </c>
      <c r="AG71" s="24">
        <f t="shared" si="159"/>
        <v>11681143</v>
      </c>
    </row>
    <row r="72" spans="1:33" x14ac:dyDescent="0.25">
      <c r="A72" t="s">
        <v>395</v>
      </c>
      <c r="B72" s="26">
        <f>Iochpe_Anual!B194</f>
        <v>5122210000</v>
      </c>
      <c r="C72" s="26">
        <f>Iochpe_Anual!C194</f>
        <v>5267393000</v>
      </c>
      <c r="D72" s="26">
        <f>Iochpe_Anual!D194</f>
        <v>5094348000</v>
      </c>
      <c r="E72" s="26">
        <f>Iochpe_Anual!E194</f>
        <v>5954428000</v>
      </c>
      <c r="F72" s="26">
        <f>Iochpe_Anual!F194</f>
        <v>5844666000</v>
      </c>
      <c r="G72" s="26">
        <f>Iochpe_Anual!G194</f>
        <v>6332962000</v>
      </c>
      <c r="H72" s="26">
        <f>Iochpe_Anual!H194</f>
        <v>8298023000</v>
      </c>
      <c r="I72" s="26">
        <f>Iochpe_Anual!I194</f>
        <v>8831177000</v>
      </c>
      <c r="J72" s="26">
        <f>Iochpe_Anual!J194</f>
        <v>8195255000</v>
      </c>
      <c r="K72" s="26">
        <f>Iochpe_2_Tri!K194</f>
        <v>10333416000</v>
      </c>
      <c r="M72" s="24">
        <f t="shared" si="149"/>
        <v>5122210</v>
      </c>
      <c r="N72" s="24">
        <f t="shared" si="150"/>
        <v>5267393</v>
      </c>
      <c r="O72" s="24">
        <f t="shared" si="151"/>
        <v>5094348</v>
      </c>
      <c r="P72" s="24">
        <f t="shared" si="152"/>
        <v>5954428</v>
      </c>
      <c r="Q72" s="24">
        <f t="shared" si="153"/>
        <v>5844666</v>
      </c>
      <c r="R72" s="24">
        <f t="shared" si="154"/>
        <v>6332962</v>
      </c>
      <c r="S72" s="24">
        <f t="shared" si="155"/>
        <v>8298023</v>
      </c>
      <c r="T72" s="24">
        <f t="shared" si="156"/>
        <v>8831177</v>
      </c>
      <c r="U72" s="24">
        <f t="shared" si="157"/>
        <v>8195255</v>
      </c>
      <c r="V72" s="24">
        <f t="shared" si="158"/>
        <v>10333416</v>
      </c>
    </row>
    <row r="73" spans="1:33" x14ac:dyDescent="0.25">
      <c r="A73" t="s">
        <v>396</v>
      </c>
      <c r="B73" s="26">
        <f>B71-B72</f>
        <v>576303000</v>
      </c>
      <c r="C73" s="26">
        <f t="shared" ref="C73:J73" si="160">C71-C72</f>
        <v>859100000</v>
      </c>
      <c r="D73" s="26">
        <f t="shared" si="160"/>
        <v>817329000</v>
      </c>
      <c r="E73" s="26">
        <f t="shared" si="160"/>
        <v>892028000</v>
      </c>
      <c r="F73" s="26">
        <f t="shared" si="160"/>
        <v>971788000</v>
      </c>
      <c r="G73" s="26">
        <f t="shared" si="160"/>
        <v>1154978000</v>
      </c>
      <c r="H73" s="26">
        <f t="shared" si="160"/>
        <v>1318276000</v>
      </c>
      <c r="I73" s="26">
        <f t="shared" si="160"/>
        <v>1185218000</v>
      </c>
      <c r="J73" s="26">
        <f t="shared" si="160"/>
        <v>565313000</v>
      </c>
      <c r="K73" s="26">
        <f>K71-K72</f>
        <v>1347727000</v>
      </c>
      <c r="M73" s="24">
        <f t="shared" si="149"/>
        <v>576303</v>
      </c>
      <c r="N73" s="24">
        <f t="shared" si="150"/>
        <v>859100</v>
      </c>
      <c r="O73" s="24">
        <f t="shared" si="151"/>
        <v>817329</v>
      </c>
      <c r="P73" s="24">
        <f t="shared" si="152"/>
        <v>892028</v>
      </c>
      <c r="Q73" s="24">
        <f t="shared" si="153"/>
        <v>971788</v>
      </c>
      <c r="R73" s="24">
        <f t="shared" si="154"/>
        <v>1154978</v>
      </c>
      <c r="S73" s="24">
        <f t="shared" si="155"/>
        <v>1318276</v>
      </c>
      <c r="T73" s="24">
        <f t="shared" si="156"/>
        <v>1185218</v>
      </c>
      <c r="U73" s="24">
        <f t="shared" si="157"/>
        <v>565313</v>
      </c>
      <c r="V73" s="24">
        <f t="shared" si="158"/>
        <v>1347727</v>
      </c>
    </row>
    <row r="74" spans="1:33" x14ac:dyDescent="0.25">
      <c r="A74" t="s">
        <v>397</v>
      </c>
      <c r="B74" s="26">
        <f>B75+B76+B78-(B77+B79)</f>
        <v>297793000</v>
      </c>
      <c r="C74" s="26">
        <f t="shared" ref="C74:J74" si="161">C75+C76+C78-(C77+C79)</f>
        <v>405541000</v>
      </c>
      <c r="D74" s="26">
        <f t="shared" si="161"/>
        <v>399626000</v>
      </c>
      <c r="E74" s="26">
        <f t="shared" si="161"/>
        <v>442426000</v>
      </c>
      <c r="F74" s="26">
        <f t="shared" si="161"/>
        <v>492466000</v>
      </c>
      <c r="G74" s="26">
        <f t="shared" si="161"/>
        <v>658422000</v>
      </c>
      <c r="H74" s="26">
        <f t="shared" si="161"/>
        <v>616783000</v>
      </c>
      <c r="I74" s="26">
        <f t="shared" si="161"/>
        <v>508963000</v>
      </c>
      <c r="J74" s="26">
        <f t="shared" si="161"/>
        <v>750034000</v>
      </c>
      <c r="K74" s="26">
        <f>K75+K76+K78-(K77+K79)</f>
        <v>608538000</v>
      </c>
      <c r="M74" s="24">
        <f t="shared" si="149"/>
        <v>297793</v>
      </c>
      <c r="N74" s="24">
        <f t="shared" si="150"/>
        <v>405541</v>
      </c>
      <c r="O74" s="24">
        <f t="shared" si="151"/>
        <v>399626</v>
      </c>
      <c r="P74" s="24">
        <f t="shared" si="152"/>
        <v>442426</v>
      </c>
      <c r="Q74" s="24">
        <f t="shared" si="153"/>
        <v>492466</v>
      </c>
      <c r="R74" s="24">
        <f t="shared" si="154"/>
        <v>658422</v>
      </c>
      <c r="S74" s="24">
        <f t="shared" si="155"/>
        <v>616783</v>
      </c>
      <c r="T74" s="24">
        <f t="shared" si="156"/>
        <v>508963</v>
      </c>
      <c r="U74" s="24">
        <f t="shared" si="157"/>
        <v>750034</v>
      </c>
      <c r="V74" s="24">
        <f t="shared" si="158"/>
        <v>608538</v>
      </c>
    </row>
    <row r="75" spans="1:33" x14ac:dyDescent="0.25">
      <c r="A75" t="s">
        <v>398</v>
      </c>
      <c r="B75" s="26">
        <f>Iochpe_Anual!B197</f>
        <v>92699000</v>
      </c>
      <c r="C75" s="26">
        <f>Iochpe_Anual!C197</f>
        <v>129117000</v>
      </c>
      <c r="D75" s="26">
        <f>Iochpe_Anual!D197</f>
        <v>117190000</v>
      </c>
      <c r="E75" s="26">
        <f>Iochpe_Anual!E197</f>
        <v>155560000</v>
      </c>
      <c r="F75" s="26">
        <f>Iochpe_Anual!F197</f>
        <v>150931000</v>
      </c>
      <c r="G75" s="26">
        <f>Iochpe_Anual!G197</f>
        <v>162157000</v>
      </c>
      <c r="H75" s="26">
        <f>Iochpe_Anual!H197</f>
        <v>75359000</v>
      </c>
      <c r="I75" s="26">
        <f>Iochpe_Anual!I197</f>
        <v>53778000</v>
      </c>
      <c r="J75" s="26">
        <f>Iochpe_Anual!J197</f>
        <v>61812000</v>
      </c>
      <c r="K75" s="26">
        <f>Iochpe_2_Tri!K197</f>
        <v>69844000</v>
      </c>
      <c r="M75" s="24">
        <f t="shared" si="149"/>
        <v>92699</v>
      </c>
      <c r="N75" s="24">
        <f t="shared" si="150"/>
        <v>129117</v>
      </c>
      <c r="O75" s="24">
        <f t="shared" si="151"/>
        <v>117190</v>
      </c>
      <c r="P75" s="24">
        <f t="shared" si="152"/>
        <v>155560</v>
      </c>
      <c r="Q75" s="24">
        <f t="shared" si="153"/>
        <v>150931</v>
      </c>
      <c r="R75" s="24">
        <f t="shared" si="154"/>
        <v>162157</v>
      </c>
      <c r="S75" s="24">
        <f t="shared" si="155"/>
        <v>75359</v>
      </c>
      <c r="T75" s="24">
        <f t="shared" si="156"/>
        <v>53778</v>
      </c>
      <c r="U75" s="24">
        <f t="shared" si="157"/>
        <v>61812</v>
      </c>
      <c r="V75" s="24">
        <f t="shared" si="158"/>
        <v>69844</v>
      </c>
    </row>
    <row r="76" spans="1:33" x14ac:dyDescent="0.25">
      <c r="A76" t="s">
        <v>399</v>
      </c>
      <c r="B76" s="26">
        <f>Iochpe_Anual!B198</f>
        <v>215010000</v>
      </c>
      <c r="C76" s="26">
        <f>Iochpe_Anual!C198</f>
        <v>281617000</v>
      </c>
      <c r="D76" s="26">
        <f>Iochpe_Anual!D198</f>
        <v>274865000</v>
      </c>
      <c r="E76" s="26">
        <f>Iochpe_Anual!E198</f>
        <v>329182000</v>
      </c>
      <c r="F76" s="26">
        <f>Iochpe_Anual!F198</f>
        <v>384373000</v>
      </c>
      <c r="G76" s="26">
        <f>Iochpe_Anual!G198</f>
        <v>398808000</v>
      </c>
      <c r="H76" s="26">
        <f>Iochpe_Anual!H198</f>
        <v>494228000</v>
      </c>
      <c r="I76" s="26">
        <f>Iochpe_Anual!I198</f>
        <v>502054000</v>
      </c>
      <c r="J76" s="26">
        <f>Iochpe_Anual!J198</f>
        <v>501831000</v>
      </c>
      <c r="K76" s="26">
        <f>Iochpe_2_Tri!K198</f>
        <v>592188000</v>
      </c>
      <c r="M76" s="24">
        <f t="shared" si="149"/>
        <v>215010</v>
      </c>
      <c r="N76" s="24">
        <f t="shared" si="150"/>
        <v>281617</v>
      </c>
      <c r="O76" s="24">
        <f t="shared" si="151"/>
        <v>274865</v>
      </c>
      <c r="P76" s="24">
        <f t="shared" si="152"/>
        <v>329182</v>
      </c>
      <c r="Q76" s="24">
        <f t="shared" si="153"/>
        <v>384373</v>
      </c>
      <c r="R76" s="24">
        <f t="shared" si="154"/>
        <v>398808</v>
      </c>
      <c r="S76" s="24">
        <f t="shared" si="155"/>
        <v>494228</v>
      </c>
      <c r="T76" s="24">
        <f t="shared" si="156"/>
        <v>502054</v>
      </c>
      <c r="U76" s="24">
        <f t="shared" si="157"/>
        <v>501831</v>
      </c>
      <c r="V76" s="24">
        <f t="shared" si="158"/>
        <v>592188</v>
      </c>
    </row>
    <row r="77" spans="1:33" x14ac:dyDescent="0.25">
      <c r="A77" t="s">
        <v>400</v>
      </c>
      <c r="B77" s="26">
        <f>Iochpe_Anual!B200</f>
        <v>27224000</v>
      </c>
      <c r="C77" s="26">
        <f>Iochpe_Anual!C200</f>
        <v>18958000</v>
      </c>
      <c r="D77" s="26">
        <f>Iochpe_Anual!D200</f>
        <v>6411000</v>
      </c>
      <c r="E77" s="26">
        <f>Iochpe_Anual!E200</f>
        <v>-28332000</v>
      </c>
      <c r="F77" s="26">
        <f>Iochpe_Anual!F200</f>
        <v>71637000</v>
      </c>
      <c r="G77" s="26">
        <f>Iochpe_Anual!G200</f>
        <v>-77500000</v>
      </c>
      <c r="H77" s="26">
        <f>Iochpe_Anual!H200</f>
        <v>-32739000</v>
      </c>
      <c r="I77" s="26">
        <f>Iochpe_Anual!I200</f>
        <v>70771000</v>
      </c>
      <c r="J77" s="26">
        <f>Iochpe_Anual!J200</f>
        <v>-188434000</v>
      </c>
      <c r="K77" s="26">
        <f>Iochpe_2_Tri!K200</f>
        <v>43231000</v>
      </c>
      <c r="M77" s="24">
        <f t="shared" si="149"/>
        <v>27224</v>
      </c>
      <c r="N77" s="24">
        <f t="shared" si="150"/>
        <v>18958</v>
      </c>
      <c r="O77" s="24">
        <f t="shared" si="151"/>
        <v>6411</v>
      </c>
      <c r="P77" s="24">
        <f t="shared" si="152"/>
        <v>-28332</v>
      </c>
      <c r="Q77" s="24">
        <f t="shared" si="153"/>
        <v>71637</v>
      </c>
      <c r="R77" s="24">
        <f t="shared" si="154"/>
        <v>-77500</v>
      </c>
      <c r="S77" s="24">
        <f t="shared" si="155"/>
        <v>-32739</v>
      </c>
      <c r="T77" s="24">
        <f t="shared" si="156"/>
        <v>70771</v>
      </c>
      <c r="U77" s="24">
        <f t="shared" si="157"/>
        <v>-188434</v>
      </c>
      <c r="V77" s="24">
        <f t="shared" si="158"/>
        <v>43231</v>
      </c>
    </row>
    <row r="78" spans="1:33" x14ac:dyDescent="0.25">
      <c r="A78" t="s">
        <v>401</v>
      </c>
      <c r="B78" s="26">
        <f>Iochpe_Anual!B201</f>
        <v>17308000</v>
      </c>
      <c r="C78" s="26">
        <f>Iochpe_Anual!C201</f>
        <v>0</v>
      </c>
      <c r="D78" s="26">
        <f>Iochpe_Anual!D201</f>
        <v>0</v>
      </c>
      <c r="E78" s="26">
        <f>Iochpe_Anual!E201</f>
        <v>0</v>
      </c>
      <c r="F78" s="26">
        <f>Iochpe_Anual!F201</f>
        <v>0</v>
      </c>
      <c r="G78" s="26">
        <f>Iochpe_Anual!G201</f>
        <v>0</v>
      </c>
      <c r="H78" s="26">
        <f>Iochpe_Anual!H201</f>
        <v>0</v>
      </c>
      <c r="I78" s="26">
        <f>Iochpe_Anual!I201</f>
        <v>0</v>
      </c>
      <c r="J78" s="26">
        <f>Iochpe_Anual!J201</f>
        <v>0</v>
      </c>
      <c r="K78" s="26">
        <f>Iochpe_2_Tri!K201</f>
        <v>0</v>
      </c>
      <c r="M78" s="24">
        <f t="shared" si="149"/>
        <v>17308</v>
      </c>
      <c r="N78" s="24">
        <f t="shared" si="150"/>
        <v>0</v>
      </c>
      <c r="O78" s="24">
        <f t="shared" si="151"/>
        <v>0</v>
      </c>
      <c r="P78" s="24">
        <f t="shared" si="152"/>
        <v>0</v>
      </c>
      <c r="Q78" s="24">
        <f t="shared" si="153"/>
        <v>0</v>
      </c>
      <c r="R78" s="24">
        <f t="shared" si="154"/>
        <v>0</v>
      </c>
      <c r="S78" s="24">
        <f t="shared" si="155"/>
        <v>0</v>
      </c>
      <c r="T78" s="24">
        <f t="shared" si="156"/>
        <v>0</v>
      </c>
      <c r="U78" s="24">
        <f t="shared" si="157"/>
        <v>0</v>
      </c>
      <c r="V78" s="24">
        <f t="shared" si="158"/>
        <v>0</v>
      </c>
    </row>
    <row r="79" spans="1:33" x14ac:dyDescent="0.25">
      <c r="A79" t="s">
        <v>402</v>
      </c>
      <c r="B79" s="26">
        <f>Iochpe_Anual!B202</f>
        <v>0</v>
      </c>
      <c r="C79" s="26">
        <f>Iochpe_Anual!C202</f>
        <v>-13765000</v>
      </c>
      <c r="D79" s="26">
        <f>Iochpe_Anual!D202</f>
        <v>-13982000</v>
      </c>
      <c r="E79" s="26">
        <f>Iochpe_Anual!E202</f>
        <v>70648000</v>
      </c>
      <c r="F79" s="26">
        <f>Iochpe_Anual!F202</f>
        <v>-28799000</v>
      </c>
      <c r="G79" s="26">
        <f>Iochpe_Anual!G202</f>
        <v>-19957000</v>
      </c>
      <c r="H79" s="26">
        <f>Iochpe_Anual!H202</f>
        <v>-14457000</v>
      </c>
      <c r="I79" s="26">
        <f>Iochpe_Anual!I202</f>
        <v>-23902000</v>
      </c>
      <c r="J79" s="26">
        <f>Iochpe_Anual!J202</f>
        <v>2043000</v>
      </c>
      <c r="K79" s="26">
        <f>Iochpe_2_Tri!K202</f>
        <v>10263000</v>
      </c>
      <c r="M79" s="24">
        <f t="shared" si="149"/>
        <v>0</v>
      </c>
      <c r="N79" s="24">
        <f t="shared" si="150"/>
        <v>-13765</v>
      </c>
      <c r="O79" s="24">
        <f t="shared" si="151"/>
        <v>-13982</v>
      </c>
      <c r="P79" s="24">
        <f t="shared" si="152"/>
        <v>70648</v>
      </c>
      <c r="Q79" s="24">
        <f t="shared" si="153"/>
        <v>-28799</v>
      </c>
      <c r="R79" s="24">
        <f t="shared" si="154"/>
        <v>-19957</v>
      </c>
      <c r="S79" s="24">
        <f t="shared" si="155"/>
        <v>-14457</v>
      </c>
      <c r="T79" s="24">
        <f t="shared" si="156"/>
        <v>-23902</v>
      </c>
      <c r="U79" s="24">
        <f t="shared" si="157"/>
        <v>2043</v>
      </c>
      <c r="V79" s="24">
        <f t="shared" si="158"/>
        <v>10263</v>
      </c>
    </row>
    <row r="80" spans="1:33" x14ac:dyDescent="0.25">
      <c r="A80" t="s">
        <v>403</v>
      </c>
      <c r="B80" s="26">
        <f>B73-B74</f>
        <v>278510000</v>
      </c>
      <c r="C80" s="26">
        <f t="shared" ref="C80:J80" si="162">C73-C74</f>
        <v>453559000</v>
      </c>
      <c r="D80" s="26">
        <f t="shared" si="162"/>
        <v>417703000</v>
      </c>
      <c r="E80" s="26">
        <f t="shared" si="162"/>
        <v>449602000</v>
      </c>
      <c r="F80" s="26">
        <f t="shared" si="162"/>
        <v>479322000</v>
      </c>
      <c r="G80" s="26">
        <f t="shared" si="162"/>
        <v>496556000</v>
      </c>
      <c r="H80" s="26">
        <f t="shared" si="162"/>
        <v>701493000</v>
      </c>
      <c r="I80" s="26">
        <f t="shared" si="162"/>
        <v>676255000</v>
      </c>
      <c r="J80" s="26">
        <f t="shared" si="162"/>
        <v>-184721000</v>
      </c>
      <c r="K80" s="26">
        <f>K73-K74</f>
        <v>739189000</v>
      </c>
      <c r="M80" s="24">
        <f t="shared" si="149"/>
        <v>278510</v>
      </c>
      <c r="N80" s="24">
        <f t="shared" si="150"/>
        <v>453559</v>
      </c>
      <c r="O80" s="24">
        <f t="shared" si="151"/>
        <v>417703</v>
      </c>
      <c r="P80" s="24">
        <f t="shared" si="152"/>
        <v>449602</v>
      </c>
      <c r="Q80" s="24">
        <f t="shared" si="153"/>
        <v>479322</v>
      </c>
      <c r="R80" s="24">
        <f t="shared" si="154"/>
        <v>496556</v>
      </c>
      <c r="S80" s="24">
        <f t="shared" si="155"/>
        <v>701493</v>
      </c>
      <c r="T80" s="24">
        <f t="shared" si="156"/>
        <v>676255</v>
      </c>
      <c r="U80" s="24">
        <f t="shared" si="157"/>
        <v>-184721</v>
      </c>
      <c r="V80" s="24">
        <f t="shared" si="158"/>
        <v>739189</v>
      </c>
    </row>
    <row r="81" spans="1:33" x14ac:dyDescent="0.25">
      <c r="A81" t="s">
        <v>404</v>
      </c>
      <c r="B81" s="26">
        <f>B82-B83</f>
        <v>-160624000</v>
      </c>
      <c r="C81" s="26">
        <f t="shared" ref="C81:J81" si="163">C82-C83</f>
        <v>-212924000</v>
      </c>
      <c r="D81" s="26">
        <f t="shared" si="163"/>
        <v>-256460000</v>
      </c>
      <c r="E81" s="26">
        <f t="shared" si="163"/>
        <v>-316760000</v>
      </c>
      <c r="F81" s="26">
        <f t="shared" si="163"/>
        <v>-344490000</v>
      </c>
      <c r="G81" s="26">
        <f t="shared" si="163"/>
        <v>-347208000</v>
      </c>
      <c r="H81" s="26">
        <f t="shared" si="163"/>
        <v>-220819000</v>
      </c>
      <c r="I81" s="26">
        <f t="shared" si="163"/>
        <v>-169904000</v>
      </c>
      <c r="J81" s="26">
        <f t="shared" si="163"/>
        <v>-232986000</v>
      </c>
      <c r="K81" s="26">
        <f>K82-K83</f>
        <v>-226870000</v>
      </c>
      <c r="M81" s="24">
        <f t="shared" si="149"/>
        <v>-160624</v>
      </c>
      <c r="N81" s="24">
        <f t="shared" si="150"/>
        <v>-212924</v>
      </c>
      <c r="O81" s="24">
        <f t="shared" si="151"/>
        <v>-256460</v>
      </c>
      <c r="P81" s="24">
        <f t="shared" si="152"/>
        <v>-316760</v>
      </c>
      <c r="Q81" s="24">
        <f t="shared" si="153"/>
        <v>-344490</v>
      </c>
      <c r="R81" s="24">
        <f t="shared" si="154"/>
        <v>-347208</v>
      </c>
      <c r="S81" s="24">
        <f t="shared" si="155"/>
        <v>-220819</v>
      </c>
      <c r="T81" s="24">
        <f t="shared" si="156"/>
        <v>-169904</v>
      </c>
      <c r="U81" s="24">
        <f t="shared" si="157"/>
        <v>-232986</v>
      </c>
      <c r="V81" s="24">
        <f t="shared" si="158"/>
        <v>-226870</v>
      </c>
    </row>
    <row r="82" spans="1:33" x14ac:dyDescent="0.25">
      <c r="A82" t="s">
        <v>405</v>
      </c>
      <c r="B82" s="26">
        <f>Iochpe_Anual!B205</f>
        <v>47014000</v>
      </c>
      <c r="C82" s="26">
        <f>Iochpe_Anual!C205</f>
        <v>24709000</v>
      </c>
      <c r="D82" s="26">
        <f>Iochpe_Anual!D205</f>
        <v>35030000</v>
      </c>
      <c r="E82" s="26">
        <f>Iochpe_Anual!E205</f>
        <v>37250000</v>
      </c>
      <c r="F82" s="26">
        <f>Iochpe_Anual!F205</f>
        <v>57837000</v>
      </c>
      <c r="G82" s="26">
        <f>Iochpe_Anual!G205</f>
        <v>55160000</v>
      </c>
      <c r="H82" s="26">
        <f>Iochpe_Anual!H205</f>
        <v>14838000</v>
      </c>
      <c r="I82" s="26">
        <f>Iochpe_Anual!I205</f>
        <v>65344000</v>
      </c>
      <c r="J82" s="26">
        <f>Iochpe_Anual!J205</f>
        <v>33366000</v>
      </c>
      <c r="K82" s="26">
        <f>Iochpe_2_Tri!K205</f>
        <v>94479000</v>
      </c>
      <c r="M82" s="24">
        <f t="shared" si="149"/>
        <v>47014</v>
      </c>
      <c r="N82" s="24">
        <f t="shared" si="150"/>
        <v>24709</v>
      </c>
      <c r="O82" s="24">
        <f t="shared" si="151"/>
        <v>35030</v>
      </c>
      <c r="P82" s="24">
        <f t="shared" si="152"/>
        <v>37250</v>
      </c>
      <c r="Q82" s="24">
        <f t="shared" si="153"/>
        <v>57837</v>
      </c>
      <c r="R82" s="24">
        <f t="shared" si="154"/>
        <v>55160</v>
      </c>
      <c r="S82" s="24">
        <f t="shared" si="155"/>
        <v>14838</v>
      </c>
      <c r="T82" s="24">
        <f t="shared" si="156"/>
        <v>65344</v>
      </c>
      <c r="U82" s="24">
        <f t="shared" si="157"/>
        <v>33366</v>
      </c>
      <c r="V82" s="24">
        <f t="shared" si="158"/>
        <v>94479</v>
      </c>
    </row>
    <row r="83" spans="1:33" x14ac:dyDescent="0.25">
      <c r="A83" t="s">
        <v>406</v>
      </c>
      <c r="B83" s="26">
        <f>Iochpe_Anual!B206</f>
        <v>207638000</v>
      </c>
      <c r="C83" s="26">
        <f>Iochpe_Anual!C206</f>
        <v>237633000</v>
      </c>
      <c r="D83" s="26">
        <f>Iochpe_Anual!D206</f>
        <v>291490000</v>
      </c>
      <c r="E83" s="26">
        <f>Iochpe_Anual!E206</f>
        <v>354010000</v>
      </c>
      <c r="F83" s="26">
        <f>Iochpe_Anual!F206</f>
        <v>402327000</v>
      </c>
      <c r="G83" s="26">
        <f>Iochpe_Anual!G206</f>
        <v>402368000</v>
      </c>
      <c r="H83" s="26">
        <f>Iochpe_Anual!H206</f>
        <v>235657000</v>
      </c>
      <c r="I83" s="26">
        <f>Iochpe_Anual!I206</f>
        <v>235248000</v>
      </c>
      <c r="J83" s="26">
        <f>Iochpe_Anual!J206</f>
        <v>266352000</v>
      </c>
      <c r="K83" s="26">
        <f>Iochpe_2_Tri!K206</f>
        <v>321349000</v>
      </c>
      <c r="M83" s="24">
        <f t="shared" si="149"/>
        <v>207638</v>
      </c>
      <c r="N83" s="24">
        <f t="shared" si="150"/>
        <v>237633</v>
      </c>
      <c r="O83" s="24">
        <f t="shared" si="151"/>
        <v>291490</v>
      </c>
      <c r="P83" s="24">
        <f t="shared" si="152"/>
        <v>354010</v>
      </c>
      <c r="Q83" s="24">
        <f t="shared" si="153"/>
        <v>402327</v>
      </c>
      <c r="R83" s="24">
        <f t="shared" si="154"/>
        <v>402368</v>
      </c>
      <c r="S83" s="24">
        <f t="shared" si="155"/>
        <v>235657</v>
      </c>
      <c r="T83" s="24">
        <f t="shared" si="156"/>
        <v>235248</v>
      </c>
      <c r="U83" s="24">
        <f t="shared" si="157"/>
        <v>266352</v>
      </c>
      <c r="V83" s="24">
        <f t="shared" si="158"/>
        <v>321349</v>
      </c>
    </row>
    <row r="84" spans="1:33" x14ac:dyDescent="0.25">
      <c r="A84" t="s">
        <v>407</v>
      </c>
      <c r="B84" s="26">
        <f>B80+B81</f>
        <v>117886000</v>
      </c>
      <c r="C84" s="26">
        <f t="shared" ref="C84:J84" si="164">C80+C81</f>
        <v>240635000</v>
      </c>
      <c r="D84" s="26">
        <f t="shared" si="164"/>
        <v>161243000</v>
      </c>
      <c r="E84" s="26">
        <f t="shared" si="164"/>
        <v>132842000</v>
      </c>
      <c r="F84" s="26">
        <f t="shared" si="164"/>
        <v>134832000</v>
      </c>
      <c r="G84" s="26">
        <f t="shared" si="164"/>
        <v>149348000</v>
      </c>
      <c r="H84" s="26">
        <f t="shared" si="164"/>
        <v>480674000</v>
      </c>
      <c r="I84" s="26">
        <f t="shared" si="164"/>
        <v>506351000</v>
      </c>
      <c r="J84" s="26">
        <f t="shared" si="164"/>
        <v>-417707000</v>
      </c>
      <c r="K84" s="26">
        <f>K80+K81</f>
        <v>512319000</v>
      </c>
      <c r="M84" s="24">
        <f t="shared" si="149"/>
        <v>117886</v>
      </c>
      <c r="N84" s="24">
        <f t="shared" si="150"/>
        <v>240635</v>
      </c>
      <c r="O84" s="24">
        <f t="shared" si="151"/>
        <v>161243</v>
      </c>
      <c r="P84" s="24">
        <f t="shared" si="152"/>
        <v>132842</v>
      </c>
      <c r="Q84" s="24">
        <f t="shared" si="153"/>
        <v>134832</v>
      </c>
      <c r="R84" s="24">
        <f t="shared" si="154"/>
        <v>149348</v>
      </c>
      <c r="S84" s="24">
        <f t="shared" si="155"/>
        <v>480674</v>
      </c>
      <c r="T84" s="24">
        <f t="shared" si="156"/>
        <v>506351</v>
      </c>
      <c r="U84" s="24">
        <f t="shared" si="157"/>
        <v>-417707</v>
      </c>
      <c r="V84" s="24">
        <f t="shared" si="158"/>
        <v>512319</v>
      </c>
    </row>
    <row r="85" spans="1:33" x14ac:dyDescent="0.25">
      <c r="A85" t="s">
        <v>408</v>
      </c>
      <c r="B85" s="26">
        <f>B86+B87</f>
        <v>12180000</v>
      </c>
      <c r="C85" s="26">
        <f t="shared" ref="C85:J85" si="165">C86+C87</f>
        <v>29335000</v>
      </c>
      <c r="D85" s="26">
        <f t="shared" si="165"/>
        <v>43211000</v>
      </c>
      <c r="E85" s="26">
        <f t="shared" si="165"/>
        <v>12993000</v>
      </c>
      <c r="F85" s="26">
        <f t="shared" si="165"/>
        <v>45702000</v>
      </c>
      <c r="G85" s="26">
        <f t="shared" si="165"/>
        <v>69139000</v>
      </c>
      <c r="H85" s="26">
        <f t="shared" si="165"/>
        <v>174532000</v>
      </c>
      <c r="I85" s="26">
        <f t="shared" si="165"/>
        <v>84936000</v>
      </c>
      <c r="J85" s="26">
        <f t="shared" si="165"/>
        <v>2207000</v>
      </c>
      <c r="K85" s="26">
        <f>K86+K87</f>
        <v>297849000</v>
      </c>
      <c r="M85" s="24">
        <f t="shared" si="149"/>
        <v>12180</v>
      </c>
      <c r="N85" s="24">
        <f t="shared" si="150"/>
        <v>29335</v>
      </c>
      <c r="O85" s="24">
        <f t="shared" si="151"/>
        <v>43211</v>
      </c>
      <c r="P85" s="24">
        <f t="shared" si="152"/>
        <v>12993</v>
      </c>
      <c r="Q85" s="24">
        <f t="shared" si="153"/>
        <v>45702</v>
      </c>
      <c r="R85" s="24">
        <f t="shared" si="154"/>
        <v>69139</v>
      </c>
      <c r="S85" s="24">
        <f t="shared" si="155"/>
        <v>174532</v>
      </c>
      <c r="T85" s="24">
        <f t="shared" si="156"/>
        <v>84936</v>
      </c>
      <c r="U85" s="24">
        <f t="shared" si="157"/>
        <v>2207</v>
      </c>
      <c r="V85" s="24">
        <f t="shared" si="158"/>
        <v>297849</v>
      </c>
    </row>
    <row r="86" spans="1:33" x14ac:dyDescent="0.25">
      <c r="A86" t="s">
        <v>409</v>
      </c>
      <c r="B86" s="26">
        <f>Iochpe_Anual!B209</f>
        <v>71974000</v>
      </c>
      <c r="C86" s="26">
        <f>Iochpe_Anual!C209</f>
        <v>81347000</v>
      </c>
      <c r="D86" s="26">
        <f>Iochpe_Anual!D209</f>
        <v>80014000</v>
      </c>
      <c r="E86" s="26">
        <f>Iochpe_Anual!E209</f>
        <v>68873000</v>
      </c>
      <c r="F86" s="26">
        <f>Iochpe_Anual!F209</f>
        <v>112502000</v>
      </c>
      <c r="G86" s="26">
        <f>Iochpe_Anual!G209</f>
        <v>136828000</v>
      </c>
      <c r="H86" s="26">
        <f>Iochpe_Anual!H209</f>
        <v>148043000</v>
      </c>
      <c r="I86" s="26">
        <f>Iochpe_Anual!I209</f>
        <v>178240000</v>
      </c>
      <c r="J86" s="26">
        <f>Iochpe_Anual!J209</f>
        <v>88573000</v>
      </c>
      <c r="K86" s="26">
        <f>Iochpe_2_Tri!K209</f>
        <v>302408000</v>
      </c>
      <c r="M86" s="24">
        <f t="shared" si="149"/>
        <v>71974</v>
      </c>
      <c r="N86" s="24">
        <f t="shared" si="150"/>
        <v>81347</v>
      </c>
      <c r="O86" s="24">
        <f t="shared" si="151"/>
        <v>80014</v>
      </c>
      <c r="P86" s="24">
        <f t="shared" si="152"/>
        <v>68873</v>
      </c>
      <c r="Q86" s="24">
        <f t="shared" si="153"/>
        <v>112502</v>
      </c>
      <c r="R86" s="24">
        <f t="shared" si="154"/>
        <v>136828</v>
      </c>
      <c r="S86" s="24">
        <f t="shared" si="155"/>
        <v>148043</v>
      </c>
      <c r="T86" s="24">
        <f t="shared" si="156"/>
        <v>178240</v>
      </c>
      <c r="U86" s="24">
        <f t="shared" si="157"/>
        <v>88573</v>
      </c>
      <c r="V86" s="24">
        <f t="shared" si="158"/>
        <v>302408</v>
      </c>
    </row>
    <row r="87" spans="1:33" x14ac:dyDescent="0.25">
      <c r="A87" t="s">
        <v>410</v>
      </c>
      <c r="B87" s="26">
        <f>Iochpe_Anual!B210</f>
        <v>-59794000</v>
      </c>
      <c r="C87" s="26">
        <f>Iochpe_Anual!C210</f>
        <v>-52012000</v>
      </c>
      <c r="D87" s="26">
        <f>Iochpe_Anual!D210</f>
        <v>-36803000</v>
      </c>
      <c r="E87" s="26">
        <f>Iochpe_Anual!E210</f>
        <v>-55880000</v>
      </c>
      <c r="F87" s="26">
        <f>Iochpe_Anual!F210</f>
        <v>-66800000</v>
      </c>
      <c r="G87" s="26">
        <f>Iochpe_Anual!G210</f>
        <v>-67689000</v>
      </c>
      <c r="H87" s="26">
        <f>Iochpe_Anual!H210</f>
        <v>26489000</v>
      </c>
      <c r="I87" s="26">
        <f>Iochpe_Anual!I210</f>
        <v>-93304000</v>
      </c>
      <c r="J87" s="26">
        <f>Iochpe_Anual!J210</f>
        <v>-86366000</v>
      </c>
      <c r="K87" s="26">
        <f>Iochpe_2_Tri!K210</f>
        <v>-4559000</v>
      </c>
      <c r="M87" s="24">
        <f t="shared" si="149"/>
        <v>-59794</v>
      </c>
      <c r="N87" s="24">
        <f t="shared" si="150"/>
        <v>-52012</v>
      </c>
      <c r="O87" s="24">
        <f t="shared" si="151"/>
        <v>-36803</v>
      </c>
      <c r="P87" s="24">
        <f t="shared" si="152"/>
        <v>-55880</v>
      </c>
      <c r="Q87" s="24">
        <f t="shared" si="153"/>
        <v>-66800</v>
      </c>
      <c r="R87" s="24">
        <f t="shared" si="154"/>
        <v>-67689</v>
      </c>
      <c r="S87" s="24">
        <f t="shared" si="155"/>
        <v>26489</v>
      </c>
      <c r="T87" s="24">
        <f t="shared" si="156"/>
        <v>-93304</v>
      </c>
      <c r="U87" s="24">
        <f t="shared" si="157"/>
        <v>-86366</v>
      </c>
      <c r="V87" s="24">
        <f t="shared" si="158"/>
        <v>-4559</v>
      </c>
    </row>
    <row r="88" spans="1:33" x14ac:dyDescent="0.25">
      <c r="A88" t="s">
        <v>411</v>
      </c>
      <c r="B88" s="26">
        <f>B84-B85</f>
        <v>105706000</v>
      </c>
      <c r="C88" s="26">
        <f t="shared" ref="C88:J88" si="166">C84-C85</f>
        <v>211300000</v>
      </c>
      <c r="D88" s="26">
        <f t="shared" si="166"/>
        <v>118032000</v>
      </c>
      <c r="E88" s="26">
        <f t="shared" si="166"/>
        <v>119849000</v>
      </c>
      <c r="F88" s="26">
        <f t="shared" si="166"/>
        <v>89130000</v>
      </c>
      <c r="G88" s="26">
        <f t="shared" si="166"/>
        <v>80209000</v>
      </c>
      <c r="H88" s="26">
        <f t="shared" si="166"/>
        <v>306142000</v>
      </c>
      <c r="I88" s="26">
        <f t="shared" si="166"/>
        <v>421415000</v>
      </c>
      <c r="J88" s="26">
        <f t="shared" si="166"/>
        <v>-419914000</v>
      </c>
      <c r="K88" s="26">
        <f>K84-K85</f>
        <v>214470000</v>
      </c>
      <c r="M88" s="24">
        <f t="shared" si="149"/>
        <v>105706</v>
      </c>
      <c r="N88" s="24">
        <f t="shared" si="150"/>
        <v>211300</v>
      </c>
      <c r="O88" s="24">
        <f t="shared" si="151"/>
        <v>118032</v>
      </c>
      <c r="P88" s="24">
        <f t="shared" si="152"/>
        <v>119849</v>
      </c>
      <c r="Q88" s="24">
        <f t="shared" si="153"/>
        <v>89130</v>
      </c>
      <c r="R88" s="24">
        <f t="shared" si="154"/>
        <v>80209</v>
      </c>
      <c r="S88" s="24">
        <f t="shared" si="155"/>
        <v>306142</v>
      </c>
      <c r="T88" s="24">
        <f t="shared" si="156"/>
        <v>421415</v>
      </c>
      <c r="U88" s="24">
        <f t="shared" si="157"/>
        <v>-419914</v>
      </c>
      <c r="V88" s="24">
        <f t="shared" si="158"/>
        <v>214470</v>
      </c>
      <c r="Y88" s="30">
        <f>M88</f>
        <v>105706</v>
      </c>
      <c r="Z88" s="30">
        <f t="shared" ref="Z88:AG88" si="167">O88</f>
        <v>118032</v>
      </c>
      <c r="AA88" s="30">
        <f t="shared" si="167"/>
        <v>119849</v>
      </c>
      <c r="AB88" s="30">
        <f t="shared" si="167"/>
        <v>89130</v>
      </c>
      <c r="AC88" s="30">
        <f t="shared" si="167"/>
        <v>80209</v>
      </c>
      <c r="AD88" s="30">
        <f t="shared" si="167"/>
        <v>306142</v>
      </c>
      <c r="AE88" s="30">
        <f t="shared" si="167"/>
        <v>421415</v>
      </c>
      <c r="AF88" s="30">
        <f t="shared" si="167"/>
        <v>-419914</v>
      </c>
      <c r="AG88" s="30">
        <f t="shared" si="167"/>
        <v>214470</v>
      </c>
    </row>
    <row r="89" spans="1:33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M89" s="24">
        <f t="shared" si="149"/>
        <v>0</v>
      </c>
      <c r="N89" s="24">
        <f t="shared" si="150"/>
        <v>0</v>
      </c>
      <c r="O89" s="24">
        <f t="shared" si="151"/>
        <v>0</v>
      </c>
      <c r="P89" s="24">
        <f t="shared" si="152"/>
        <v>0</v>
      </c>
      <c r="Q89" s="24">
        <f t="shared" si="153"/>
        <v>0</v>
      </c>
      <c r="R89" s="24">
        <f t="shared" si="154"/>
        <v>0</v>
      </c>
      <c r="S89" s="24">
        <f t="shared" si="155"/>
        <v>0</v>
      </c>
      <c r="T89" s="24">
        <f t="shared" si="156"/>
        <v>0</v>
      </c>
      <c r="U89" s="24">
        <f t="shared" si="157"/>
        <v>0</v>
      </c>
      <c r="V89" s="24">
        <f t="shared" si="158"/>
        <v>0</v>
      </c>
    </row>
    <row r="90" spans="1:33" x14ac:dyDescent="0.25">
      <c r="A90" t="s">
        <v>412</v>
      </c>
      <c r="B90" s="26">
        <f>Iochpe_Anual!B212</f>
        <v>0</v>
      </c>
      <c r="C90" s="26">
        <f>Iochpe_Anual!C212</f>
        <v>0</v>
      </c>
      <c r="D90" s="26">
        <f>Iochpe_Anual!D212</f>
        <v>0</v>
      </c>
      <c r="E90" s="26">
        <f>Iochpe_Anual!E212</f>
        <v>0</v>
      </c>
      <c r="F90" s="26">
        <f>Iochpe_Anual!F212</f>
        <v>0</v>
      </c>
      <c r="G90" s="26">
        <f>Iochpe_Anual!G212</f>
        <v>0</v>
      </c>
      <c r="H90" s="26">
        <f>Iochpe_Anual!H212</f>
        <v>0</v>
      </c>
      <c r="I90" s="26">
        <f>Iochpe_Anual!I212</f>
        <v>0</v>
      </c>
      <c r="J90" s="26">
        <f>Iochpe_Anual!J212</f>
        <v>0</v>
      </c>
      <c r="K90" s="26">
        <f>Iochpe_2_Tri!K212</f>
        <v>0</v>
      </c>
      <c r="M90" s="24">
        <f t="shared" si="149"/>
        <v>0</v>
      </c>
      <c r="N90" s="24">
        <f t="shared" si="150"/>
        <v>0</v>
      </c>
      <c r="O90" s="24">
        <f t="shared" si="151"/>
        <v>0</v>
      </c>
      <c r="P90" s="24">
        <f t="shared" si="152"/>
        <v>0</v>
      </c>
      <c r="Q90" s="24">
        <f t="shared" si="153"/>
        <v>0</v>
      </c>
      <c r="R90" s="24">
        <f t="shared" si="154"/>
        <v>0</v>
      </c>
      <c r="S90" s="24">
        <f t="shared" si="155"/>
        <v>0</v>
      </c>
      <c r="T90" s="24">
        <f t="shared" si="156"/>
        <v>0</v>
      </c>
      <c r="U90" s="24">
        <f t="shared" si="157"/>
        <v>0</v>
      </c>
      <c r="V90" s="24">
        <f t="shared" si="158"/>
        <v>0</v>
      </c>
    </row>
    <row r="91" spans="1:33" x14ac:dyDescent="0.25">
      <c r="A91" t="s">
        <v>413</v>
      </c>
      <c r="B91" s="26">
        <f>B88+B90</f>
        <v>105706000</v>
      </c>
      <c r="C91" s="26">
        <f t="shared" ref="C91:J91" si="168">C88+C90</f>
        <v>211300000</v>
      </c>
      <c r="D91" s="26">
        <f t="shared" si="168"/>
        <v>118032000</v>
      </c>
      <c r="E91" s="26">
        <f t="shared" si="168"/>
        <v>119849000</v>
      </c>
      <c r="F91" s="26">
        <f t="shared" si="168"/>
        <v>89130000</v>
      </c>
      <c r="G91" s="26">
        <f t="shared" si="168"/>
        <v>80209000</v>
      </c>
      <c r="H91" s="26">
        <f t="shared" si="168"/>
        <v>306142000</v>
      </c>
      <c r="I91" s="26">
        <f t="shared" si="168"/>
        <v>421415000</v>
      </c>
      <c r="J91" s="26">
        <f t="shared" si="168"/>
        <v>-419914000</v>
      </c>
      <c r="K91" s="26">
        <f>K88+K90</f>
        <v>214470000</v>
      </c>
      <c r="M91" s="24">
        <f t="shared" si="149"/>
        <v>105706</v>
      </c>
      <c r="N91" s="24">
        <f t="shared" si="150"/>
        <v>211300</v>
      </c>
      <c r="O91" s="24">
        <f t="shared" si="151"/>
        <v>118032</v>
      </c>
      <c r="P91" s="24">
        <f t="shared" si="152"/>
        <v>119849</v>
      </c>
      <c r="Q91" s="24">
        <f t="shared" si="153"/>
        <v>89130</v>
      </c>
      <c r="R91" s="24">
        <f t="shared" si="154"/>
        <v>80209</v>
      </c>
      <c r="S91" s="24">
        <f t="shared" si="155"/>
        <v>306142</v>
      </c>
      <c r="T91" s="24">
        <f t="shared" si="156"/>
        <v>421415</v>
      </c>
      <c r="U91" s="24">
        <f t="shared" si="157"/>
        <v>-419914</v>
      </c>
      <c r="V91" s="24">
        <f t="shared" si="158"/>
        <v>214470</v>
      </c>
    </row>
    <row r="92" spans="1:33" x14ac:dyDescent="0.25">
      <c r="A92" t="s">
        <v>414</v>
      </c>
      <c r="B92" s="26">
        <f>Iochpe_Anual!B216</f>
        <v>38842000</v>
      </c>
      <c r="C92" s="26">
        <f>Iochpe_Anual!C216</f>
        <v>40971000</v>
      </c>
      <c r="D92" s="26">
        <f>Iochpe_Anual!D216</f>
        <v>50255000</v>
      </c>
      <c r="E92" s="26">
        <f>Iochpe_Anual!E216</f>
        <v>70483000</v>
      </c>
      <c r="F92" s="26">
        <f>Iochpe_Anual!F216</f>
        <v>67599000</v>
      </c>
      <c r="G92" s="26">
        <f>Iochpe_Anual!G216</f>
        <v>73806000</v>
      </c>
      <c r="H92" s="26">
        <f>Iochpe_Anual!H216</f>
        <v>104817000</v>
      </c>
      <c r="I92" s="26">
        <f>Iochpe_Anual!I216</f>
        <v>83980000</v>
      </c>
      <c r="J92" s="26">
        <f>Iochpe_Anual!J216</f>
        <v>71866000</v>
      </c>
      <c r="K92" s="26">
        <f>Iochpe_2_Tri!K216</f>
        <v>96758000</v>
      </c>
      <c r="M92" s="24">
        <f t="shared" si="149"/>
        <v>38842</v>
      </c>
      <c r="N92" s="24">
        <f t="shared" si="150"/>
        <v>40971</v>
      </c>
      <c r="O92" s="24">
        <f t="shared" si="151"/>
        <v>50255</v>
      </c>
      <c r="P92" s="24">
        <f t="shared" si="152"/>
        <v>70483</v>
      </c>
      <c r="Q92" s="24">
        <f t="shared" si="153"/>
        <v>67599</v>
      </c>
      <c r="R92" s="24">
        <f t="shared" si="154"/>
        <v>73806</v>
      </c>
      <c r="S92" s="24">
        <f t="shared" si="155"/>
        <v>104817</v>
      </c>
      <c r="T92" s="24">
        <f t="shared" si="156"/>
        <v>83980</v>
      </c>
      <c r="U92" s="24">
        <f t="shared" si="157"/>
        <v>71866</v>
      </c>
      <c r="V92" s="24">
        <f t="shared" si="158"/>
        <v>96758</v>
      </c>
    </row>
    <row r="93" spans="1:33" x14ac:dyDescent="0.25">
      <c r="A93" t="s">
        <v>415</v>
      </c>
      <c r="B93" s="26">
        <f>B91-B92</f>
        <v>66864000</v>
      </c>
      <c r="C93" s="26">
        <f t="shared" ref="C93:J93" si="169">C91-C92</f>
        <v>170329000</v>
      </c>
      <c r="D93" s="26">
        <f t="shared" si="169"/>
        <v>67777000</v>
      </c>
      <c r="E93" s="26">
        <f t="shared" si="169"/>
        <v>49366000</v>
      </c>
      <c r="F93" s="26">
        <f t="shared" si="169"/>
        <v>21531000</v>
      </c>
      <c r="G93" s="26">
        <f t="shared" si="169"/>
        <v>6403000</v>
      </c>
      <c r="H93" s="26">
        <f t="shared" si="169"/>
        <v>201325000</v>
      </c>
      <c r="I93" s="26">
        <f t="shared" si="169"/>
        <v>337435000</v>
      </c>
      <c r="J93" s="26">
        <f t="shared" si="169"/>
        <v>-491780000</v>
      </c>
      <c r="K93" s="26">
        <f>K91-K92</f>
        <v>117712000</v>
      </c>
      <c r="M93" s="24">
        <f t="shared" si="149"/>
        <v>66864</v>
      </c>
      <c r="N93" s="24">
        <f t="shared" si="150"/>
        <v>170329</v>
      </c>
      <c r="O93" s="24">
        <f t="shared" si="151"/>
        <v>67777</v>
      </c>
      <c r="P93" s="24">
        <f t="shared" si="152"/>
        <v>49366</v>
      </c>
      <c r="Q93" s="24">
        <f t="shared" si="153"/>
        <v>21531</v>
      </c>
      <c r="R93" s="24">
        <f t="shared" si="154"/>
        <v>6403</v>
      </c>
      <c r="S93" s="24">
        <f t="shared" si="155"/>
        <v>201325</v>
      </c>
      <c r="T93" s="24">
        <f t="shared" si="156"/>
        <v>337435</v>
      </c>
      <c r="U93" s="24">
        <f t="shared" si="157"/>
        <v>-491780</v>
      </c>
      <c r="V93" s="24">
        <f t="shared" si="158"/>
        <v>117712</v>
      </c>
      <c r="Y93" s="24">
        <f>M93</f>
        <v>66864</v>
      </c>
      <c r="Z93" s="24">
        <f t="shared" ref="Z93:AG93" si="170">O93</f>
        <v>67777</v>
      </c>
      <c r="AA93" s="24">
        <f t="shared" si="170"/>
        <v>49366</v>
      </c>
      <c r="AB93" s="24">
        <f t="shared" si="170"/>
        <v>21531</v>
      </c>
      <c r="AC93" s="24">
        <f t="shared" si="170"/>
        <v>6403</v>
      </c>
      <c r="AD93" s="24">
        <f t="shared" si="170"/>
        <v>201325</v>
      </c>
      <c r="AE93" s="24">
        <f t="shared" si="170"/>
        <v>337435</v>
      </c>
      <c r="AF93" s="24">
        <f t="shared" si="170"/>
        <v>-491780</v>
      </c>
      <c r="AG93" s="24">
        <f t="shared" si="170"/>
        <v>117712</v>
      </c>
    </row>
    <row r="94" spans="1:33" x14ac:dyDescent="0.25">
      <c r="M94" s="24">
        <f t="shared" si="149"/>
        <v>0</v>
      </c>
      <c r="N94" s="24">
        <f t="shared" si="150"/>
        <v>0</v>
      </c>
      <c r="O94" s="24">
        <f t="shared" si="151"/>
        <v>0</v>
      </c>
      <c r="P94" s="24">
        <f t="shared" si="152"/>
        <v>0</v>
      </c>
      <c r="Q94" s="24">
        <f t="shared" si="153"/>
        <v>0</v>
      </c>
      <c r="R94" s="24">
        <f t="shared" si="154"/>
        <v>0</v>
      </c>
      <c r="S94" s="24">
        <f t="shared" si="155"/>
        <v>0</v>
      </c>
      <c r="T94" s="24">
        <f t="shared" si="156"/>
        <v>0</v>
      </c>
      <c r="U94" s="24">
        <f t="shared" si="157"/>
        <v>0</v>
      </c>
      <c r="V94" s="24">
        <f t="shared" si="158"/>
        <v>0</v>
      </c>
    </row>
    <row r="95" spans="1:33" x14ac:dyDescent="0.25">
      <c r="A95" t="s">
        <v>416</v>
      </c>
      <c r="B95" s="26">
        <f>Iochpe_Anual!B225</f>
        <v>181061000</v>
      </c>
      <c r="C95" s="26">
        <f>Iochpe_Anual!C225</f>
        <v>212339000</v>
      </c>
      <c r="D95" s="26">
        <f>Iochpe_Anual!D225</f>
        <v>240352000</v>
      </c>
      <c r="E95" s="26">
        <f>Iochpe_Anual!E225</f>
        <v>301464000</v>
      </c>
      <c r="F95" s="26">
        <f>Iochpe_Anual!F225</f>
        <v>316903000</v>
      </c>
      <c r="G95" s="26">
        <f>Iochpe_Anual!G225</f>
        <v>301997000</v>
      </c>
      <c r="H95" s="26">
        <f>Iochpe_Anual!H225</f>
        <v>355575000</v>
      </c>
      <c r="I95" s="26">
        <f>Iochpe_Anual!I225</f>
        <v>419554000</v>
      </c>
      <c r="J95" s="26">
        <f>Iochpe_Anual!J225</f>
        <v>556861000</v>
      </c>
      <c r="K95" s="26">
        <f>Iochpe_2_Tri!K225</f>
        <v>588168000</v>
      </c>
      <c r="M95" s="24">
        <f t="shared" si="149"/>
        <v>181061</v>
      </c>
      <c r="N95" s="24">
        <f t="shared" si="150"/>
        <v>212339</v>
      </c>
      <c r="O95" s="24">
        <f t="shared" si="151"/>
        <v>240352</v>
      </c>
      <c r="P95" s="24">
        <f t="shared" si="152"/>
        <v>301464</v>
      </c>
      <c r="Q95" s="24">
        <f t="shared" si="153"/>
        <v>316903</v>
      </c>
      <c r="R95" s="24">
        <f t="shared" si="154"/>
        <v>301997</v>
      </c>
      <c r="S95" s="24">
        <f t="shared" si="155"/>
        <v>355575</v>
      </c>
      <c r="T95" s="24">
        <f t="shared" si="156"/>
        <v>419554</v>
      </c>
      <c r="U95" s="24">
        <f t="shared" si="157"/>
        <v>556861</v>
      </c>
      <c r="V95" s="24">
        <f t="shared" si="158"/>
        <v>588168</v>
      </c>
    </row>
    <row r="96" spans="1:33" x14ac:dyDescent="0.25">
      <c r="A96" t="s">
        <v>417</v>
      </c>
      <c r="B96" s="26">
        <f>B80+B95</f>
        <v>459571000</v>
      </c>
      <c r="C96" s="26">
        <f t="shared" ref="C96:J96" si="171">C80+C95</f>
        <v>665898000</v>
      </c>
      <c r="D96" s="26">
        <f t="shared" si="171"/>
        <v>658055000</v>
      </c>
      <c r="E96" s="26">
        <f t="shared" si="171"/>
        <v>751066000</v>
      </c>
      <c r="F96" s="26">
        <f t="shared" si="171"/>
        <v>796225000</v>
      </c>
      <c r="G96" s="26">
        <f t="shared" si="171"/>
        <v>798553000</v>
      </c>
      <c r="H96" s="26">
        <f t="shared" si="171"/>
        <v>1057068000</v>
      </c>
      <c r="I96" s="26">
        <f t="shared" si="171"/>
        <v>1095809000</v>
      </c>
      <c r="J96" s="26">
        <f t="shared" si="171"/>
        <v>372140000</v>
      </c>
      <c r="K96" s="26">
        <f>K80+K95</f>
        <v>1327357000</v>
      </c>
      <c r="M96" s="24">
        <f t="shared" si="149"/>
        <v>459571</v>
      </c>
      <c r="N96" s="24">
        <f t="shared" si="150"/>
        <v>665898</v>
      </c>
      <c r="O96" s="24">
        <f t="shared" si="151"/>
        <v>658055</v>
      </c>
      <c r="P96" s="24">
        <f t="shared" si="152"/>
        <v>751066</v>
      </c>
      <c r="Q96" s="24">
        <f t="shared" si="153"/>
        <v>796225</v>
      </c>
      <c r="R96" s="24">
        <f t="shared" si="154"/>
        <v>798553</v>
      </c>
      <c r="S96" s="24">
        <f t="shared" si="155"/>
        <v>1057068</v>
      </c>
      <c r="T96" s="24">
        <f t="shared" si="156"/>
        <v>1095809</v>
      </c>
      <c r="U96" s="24">
        <f t="shared" si="157"/>
        <v>372140</v>
      </c>
      <c r="V96" s="24">
        <f t="shared" si="158"/>
        <v>1327357</v>
      </c>
      <c r="Y96" s="24">
        <f>M96</f>
        <v>459571</v>
      </c>
      <c r="Z96" s="24">
        <f t="shared" ref="Z96:AG96" si="172">O96</f>
        <v>658055</v>
      </c>
      <c r="AA96" s="24">
        <f t="shared" si="172"/>
        <v>751066</v>
      </c>
      <c r="AB96" s="24">
        <f t="shared" si="172"/>
        <v>796225</v>
      </c>
      <c r="AC96" s="24">
        <f t="shared" si="172"/>
        <v>798553</v>
      </c>
      <c r="AD96" s="24">
        <f t="shared" si="172"/>
        <v>1057068</v>
      </c>
      <c r="AE96" s="24">
        <f t="shared" si="172"/>
        <v>1095809</v>
      </c>
      <c r="AF96" s="24">
        <f t="shared" si="172"/>
        <v>372140</v>
      </c>
      <c r="AG96" s="24">
        <f t="shared" si="172"/>
        <v>1327357</v>
      </c>
    </row>
    <row r="97" spans="1:33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M97" s="24"/>
      <c r="N97" s="24"/>
      <c r="O97" s="24"/>
      <c r="P97" s="24"/>
      <c r="Q97" s="24"/>
      <c r="R97" s="24"/>
      <c r="S97" s="24"/>
      <c r="T97" s="24"/>
      <c r="U97" s="24"/>
      <c r="V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31" t="s">
        <v>418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M98" s="24"/>
      <c r="N98" s="24"/>
      <c r="O98" s="24"/>
      <c r="P98" s="24"/>
      <c r="Q98" s="24"/>
      <c r="R98" s="24"/>
      <c r="S98" s="24"/>
      <c r="T98" s="24"/>
      <c r="U98" s="24"/>
      <c r="V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31" t="s">
        <v>419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M99" s="24"/>
      <c r="N99" s="24"/>
      <c r="O99" s="24"/>
      <c r="P99" s="24"/>
      <c r="Q99" s="24"/>
      <c r="R99" s="24"/>
      <c r="S99" s="24"/>
      <c r="T99" s="24"/>
      <c r="U99" s="24"/>
      <c r="V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31" t="s">
        <v>420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31" t="s">
        <v>421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31" t="s">
        <v>422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t="s">
        <v>423</v>
      </c>
      <c r="B107" s="52"/>
      <c r="C107" s="52">
        <v>677202000</v>
      </c>
      <c r="D107" s="52">
        <v>672034000</v>
      </c>
      <c r="E107" s="52">
        <v>680419000</v>
      </c>
      <c r="F107" s="52">
        <v>825024000</v>
      </c>
      <c r="G107" s="52">
        <v>818510000</v>
      </c>
      <c r="H107" s="52">
        <v>1071525000</v>
      </c>
      <c r="I107" s="52">
        <v>1108985000</v>
      </c>
      <c r="J107" s="52">
        <v>543872000</v>
      </c>
      <c r="K107" s="52">
        <f>976735000+J107-65493000</f>
        <v>1455114000</v>
      </c>
      <c r="M107" s="24">
        <f>B107/1000</f>
        <v>0</v>
      </c>
      <c r="N107" s="24">
        <f t="shared" ref="N107" si="173">C107/1000</f>
        <v>677202</v>
      </c>
      <c r="O107" s="24">
        <f t="shared" ref="O107" si="174">D107/1000</f>
        <v>672034</v>
      </c>
      <c r="P107" s="24">
        <f t="shared" ref="P107" si="175">E107/1000</f>
        <v>680419</v>
      </c>
      <c r="Q107" s="24">
        <f t="shared" ref="Q107" si="176">F107/1000</f>
        <v>825024</v>
      </c>
      <c r="R107" s="24">
        <f t="shared" ref="R107" si="177">G107/1000</f>
        <v>818510</v>
      </c>
      <c r="S107" s="24">
        <f t="shared" ref="S107" si="178">H107/1000</f>
        <v>1071525</v>
      </c>
      <c r="T107" s="24">
        <f t="shared" ref="T107" si="179">I107/1000</f>
        <v>1108985</v>
      </c>
      <c r="U107" s="24">
        <f t="shared" ref="U107" si="180">J107/1000</f>
        <v>543872</v>
      </c>
      <c r="V107" s="24">
        <f t="shared" ref="V107" si="181">K107/1000</f>
        <v>1455114</v>
      </c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t="s">
        <v>424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t="s">
        <v>425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t="s">
        <v>426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t="s">
        <v>427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t="s">
        <v>428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t="s">
        <v>429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t="s">
        <v>430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t="s">
        <v>431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33">
        <f>J119-J125+K125</f>
        <v>152844000000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t="s">
        <v>432</v>
      </c>
      <c r="B119" s="26">
        <v>56210000000</v>
      </c>
      <c r="C119" s="26">
        <v>56210000000</v>
      </c>
      <c r="D119" s="26">
        <v>56210000000</v>
      </c>
      <c r="E119" s="26">
        <v>56210000000</v>
      </c>
      <c r="F119" s="26">
        <v>56210000000</v>
      </c>
      <c r="G119" s="26">
        <v>56210000000</v>
      </c>
      <c r="H119" s="26">
        <v>56210000000</v>
      </c>
      <c r="I119" s="26">
        <v>56210000000</v>
      </c>
      <c r="J119" s="26">
        <v>56210000000</v>
      </c>
      <c r="K119" s="2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t="s">
        <v>433</v>
      </c>
      <c r="B120" s="26">
        <f>Iochpe_Anual!B222</f>
        <v>-165758000</v>
      </c>
      <c r="C120" s="26">
        <f>Iochpe_Anual!C222</f>
        <v>496458000</v>
      </c>
      <c r="D120" s="26">
        <f>Iochpe_Anual!D222</f>
        <v>462824000</v>
      </c>
      <c r="E120" s="26">
        <f>Iochpe_Anual!E222</f>
        <v>149954000</v>
      </c>
      <c r="F120" s="26">
        <f>Iochpe_Anual!F222</f>
        <v>253963000</v>
      </c>
      <c r="G120" s="26">
        <f>Iochpe_Anual!G222</f>
        <v>303396000</v>
      </c>
      <c r="H120" s="26">
        <f>Iochpe_Anual!H222</f>
        <v>614720000</v>
      </c>
      <c r="I120" s="26">
        <f>Iochpe_Anual!I222</f>
        <v>657683000</v>
      </c>
      <c r="J120" s="26">
        <f>Iochpe_Anual!J222</f>
        <v>113169000</v>
      </c>
      <c r="K120" s="26">
        <f>Iochpe_2_Tri!I222</f>
        <v>605844000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t="s">
        <v>434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>
        <v>40070000000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t="s">
        <v>435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>
        <v>56564000000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t="s">
        <v>436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t="s">
        <v>437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t="s">
        <v>438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>
        <v>96634000000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2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25">
      <c r="A127" t="s">
        <v>439</v>
      </c>
      <c r="B127" s="26">
        <f>SUM(B128:B129)</f>
        <v>-1350712000</v>
      </c>
      <c r="C127" s="26">
        <f t="shared" ref="C127:J127" si="182">SUM(C128:C129)</f>
        <v>-249201000</v>
      </c>
      <c r="D127" s="26">
        <f t="shared" si="182"/>
        <v>-302413000</v>
      </c>
      <c r="E127" s="26">
        <f t="shared" si="182"/>
        <v>-321520000</v>
      </c>
      <c r="F127" s="26">
        <f t="shared" si="182"/>
        <v>-293453000</v>
      </c>
      <c r="G127" s="26">
        <f t="shared" si="182"/>
        <v>-237461000</v>
      </c>
      <c r="H127" s="26">
        <f t="shared" si="182"/>
        <v>-470745000</v>
      </c>
      <c r="I127" s="26">
        <f t="shared" si="182"/>
        <v>-544561000</v>
      </c>
      <c r="J127" s="26">
        <f t="shared" si="182"/>
        <v>-335794000</v>
      </c>
      <c r="K127" s="33">
        <f>K135</f>
        <v>-30288000000</v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25">
      <c r="A128" t="s">
        <v>440</v>
      </c>
      <c r="B128" s="26">
        <f>IF(Iochpe_Anual!B243="-",0,Iochpe_Anual!B243)</f>
        <v>-1089728000</v>
      </c>
      <c r="C128" s="26">
        <f>IF(Iochpe_Anual!C243="-",0,Iochpe_Anual!C243)</f>
        <v>0</v>
      </c>
      <c r="D128" s="26">
        <f>IF(Iochpe_Anual!D243="-",0,Iochpe_Anual!D243)</f>
        <v>0</v>
      </c>
      <c r="E128" s="26">
        <f>IF(Iochpe_Anual!E243="-",0,Iochpe_Anual!E243)</f>
        <v>0</v>
      </c>
      <c r="F128" s="26">
        <f>IF(Iochpe_Anual!F243="-",0,Iochpe_Anual!F243)</f>
        <v>0</v>
      </c>
      <c r="G128" s="26">
        <f>IF(Iochpe_Anual!G243="-",0,Iochpe_Anual!G243)</f>
        <v>0</v>
      </c>
      <c r="H128" s="26">
        <f>IF(Iochpe_Anual!H243="-",0,Iochpe_Anual!H243)</f>
        <v>0</v>
      </c>
      <c r="I128" s="26">
        <f>IF(Iochpe_Anual!I243="-",0,Iochpe_Anual!I243)</f>
        <v>-60934000</v>
      </c>
      <c r="J128" s="26">
        <f>IF(Iochpe_Anual!J243="-",0,Iochpe_Anual!J243)</f>
        <v>0</v>
      </c>
      <c r="K128" s="26">
        <f>IF(Iochpe_2_Tri!I243="-",0,Iochpe_2_Tri!I243)</f>
        <v>0</v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25">
      <c r="A129" t="s">
        <v>441</v>
      </c>
      <c r="B129" s="26">
        <f>IF(Iochpe_Anual!B244="-",0,Iochpe_Anual!B244)</f>
        <v>-260984000</v>
      </c>
      <c r="C129" s="26">
        <f>IF(Iochpe_Anual!C244="-",0,Iochpe_Anual!C244)</f>
        <v>-249201000</v>
      </c>
      <c r="D129" s="26">
        <f>IF(Iochpe_Anual!D244="-",0,Iochpe_Anual!D244)</f>
        <v>-302413000</v>
      </c>
      <c r="E129" s="26">
        <f>IF(Iochpe_Anual!E244="-",0,Iochpe_Anual!E244)</f>
        <v>-321520000</v>
      </c>
      <c r="F129" s="26">
        <f>IF(Iochpe_Anual!F244="-",0,Iochpe_Anual!F244)</f>
        <v>-293453000</v>
      </c>
      <c r="G129" s="26">
        <f>IF(Iochpe_Anual!G244="-",0,Iochpe_Anual!G244)</f>
        <v>-237461000</v>
      </c>
      <c r="H129" s="26">
        <f>IF(Iochpe_Anual!H244="-",0,Iochpe_Anual!H244)</f>
        <v>-470745000</v>
      </c>
      <c r="I129" s="26">
        <f>IF(Iochpe_Anual!I244="-",0,Iochpe_Anual!I244)</f>
        <v>-483627000</v>
      </c>
      <c r="J129" s="26">
        <f>IF(Iochpe_Anual!J244="-",0,Iochpe_Anual!J244)</f>
        <v>-335794000</v>
      </c>
      <c r="K129" s="26">
        <f>IF(Iochpe_2_Tri!I244="-",0,Iochpe_2_Tri!I244)</f>
        <v>-538732000</v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25">
      <c r="A130" t="s">
        <v>442</v>
      </c>
      <c r="B130" s="26">
        <f>IF(Iochpe_Anual!B246="-",0,Iochpe_Anual!B246)</f>
        <v>0</v>
      </c>
      <c r="C130" s="26">
        <f>IF(Iochpe_Anual!C246="-",0,Iochpe_Anual!C246)</f>
        <v>0</v>
      </c>
      <c r="D130" s="26">
        <f>IF(Iochpe_Anual!D246="-",0,Iochpe_Anual!D246)</f>
        <v>0</v>
      </c>
      <c r="E130" s="26">
        <f>IF(Iochpe_Anual!E246="-",0,Iochpe_Anual!E246)</f>
        <v>0</v>
      </c>
      <c r="F130" s="26">
        <f>IF(Iochpe_Anual!F246="-",0,Iochpe_Anual!F246)</f>
        <v>0</v>
      </c>
      <c r="G130" s="26">
        <f>IF(Iochpe_Anual!G246="-",0,Iochpe_Anual!G246)</f>
        <v>0</v>
      </c>
      <c r="H130" s="26">
        <f>IF(Iochpe_Anual!H246="-",0,Iochpe_Anual!H246)</f>
        <v>0</v>
      </c>
      <c r="I130" s="26">
        <f>IF(Iochpe_Anual!I246="-",0,Iochpe_Anual!I246)</f>
        <v>0</v>
      </c>
      <c r="J130" s="26">
        <f>IF(Iochpe_Anual!J246="-",0,Iochpe_Anual!J246)</f>
        <v>0</v>
      </c>
      <c r="K130" s="26">
        <f>IF(Iochpe_2_Tri!I246="-",0,Iochpe_2_Tri!I246)</f>
        <v>0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25">
      <c r="A132" t="s">
        <v>443</v>
      </c>
      <c r="B132" s="26">
        <v>-98038000000</v>
      </c>
      <c r="C132" s="26"/>
      <c r="D132" s="26">
        <v>-81795000000</v>
      </c>
      <c r="E132" s="26">
        <v>-70781000000</v>
      </c>
      <c r="F132" s="26">
        <v>-48137000000</v>
      </c>
      <c r="G132" s="26">
        <v>-42403000000</v>
      </c>
      <c r="H132" s="26">
        <v>-41246000000</v>
      </c>
      <c r="I132" s="26">
        <v>-28505000000</v>
      </c>
      <c r="J132" s="26">
        <v>-29974000000</v>
      </c>
      <c r="K132" s="2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25">
      <c r="A133" t="s">
        <v>444</v>
      </c>
      <c r="B133" s="26">
        <f t="shared" ref="B133:E133" si="183">B127+B130</f>
        <v>-1350712000</v>
      </c>
      <c r="C133" s="26"/>
      <c r="D133" s="26">
        <f t="shared" si="183"/>
        <v>-302413000</v>
      </c>
      <c r="E133" s="26">
        <f t="shared" si="183"/>
        <v>-321520000</v>
      </c>
      <c r="F133" s="26">
        <f>F127+F130</f>
        <v>-293453000</v>
      </c>
      <c r="G133" s="26">
        <f t="shared" ref="G133:K133" si="184">G127+G130</f>
        <v>-237461000</v>
      </c>
      <c r="H133" s="26">
        <f t="shared" si="184"/>
        <v>-470745000</v>
      </c>
      <c r="I133" s="26">
        <f t="shared" si="184"/>
        <v>-544561000</v>
      </c>
      <c r="J133" s="26">
        <f t="shared" si="184"/>
        <v>-335794000</v>
      </c>
      <c r="K133" s="26">
        <f t="shared" si="184"/>
        <v>-30288000000</v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25">
      <c r="A135" t="s">
        <v>445</v>
      </c>
      <c r="B135" s="26"/>
      <c r="C135" s="26"/>
      <c r="D135" s="26"/>
      <c r="E135" s="26"/>
      <c r="F135" s="26"/>
      <c r="G135" s="26">
        <v>-43614000000</v>
      </c>
      <c r="H135" s="26">
        <v>-43987000000</v>
      </c>
      <c r="I135" s="26">
        <v>-28505000000</v>
      </c>
      <c r="J135" s="26">
        <v>-29974000000</v>
      </c>
      <c r="K135" s="33">
        <f>J135-J136+K136</f>
        <v>-30288000000</v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25">
      <c r="A136" t="s">
        <v>446</v>
      </c>
      <c r="B136" s="26"/>
      <c r="C136" s="26"/>
      <c r="D136" s="26"/>
      <c r="E136" s="26"/>
      <c r="F136" s="26"/>
      <c r="G136" s="26"/>
      <c r="H136" s="26"/>
      <c r="I136" s="26"/>
      <c r="J136" s="26">
        <v>-16557000000</v>
      </c>
      <c r="K136" s="26">
        <v>-16871000000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25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25">
      <c r="A138" t="s">
        <v>447</v>
      </c>
      <c r="B138" s="26"/>
      <c r="C138" s="26"/>
      <c r="D138" s="26"/>
      <c r="E138" s="26"/>
      <c r="F138" s="26"/>
      <c r="G138" s="26"/>
      <c r="H138" s="26">
        <f>H120+H135</f>
        <v>-43372280000</v>
      </c>
      <c r="I138" s="26">
        <f t="shared" ref="I138:J138" si="185">I120+I135</f>
        <v>-27847317000</v>
      </c>
      <c r="J138" s="26">
        <f t="shared" si="185"/>
        <v>-29860831000</v>
      </c>
      <c r="K138" s="33">
        <f>K118+K135</f>
        <v>122556000000</v>
      </c>
      <c r="M138" s="24">
        <f>B138/1000</f>
        <v>0</v>
      </c>
      <c r="N138" s="24">
        <f t="shared" ref="N138:N140" si="186">C138/1000</f>
        <v>0</v>
      </c>
      <c r="O138" s="24">
        <f t="shared" ref="O138:O140" si="187">D138/1000</f>
        <v>0</v>
      </c>
      <c r="P138" s="24">
        <f t="shared" ref="P138:P140" si="188">E138/1000</f>
        <v>0</v>
      </c>
      <c r="Q138" s="24">
        <f t="shared" ref="Q138:Q140" si="189">F138/1000</f>
        <v>0</v>
      </c>
      <c r="R138" s="24">
        <f t="shared" ref="R138:R140" si="190">G138/1000</f>
        <v>0</v>
      </c>
      <c r="S138" s="24">
        <f t="shared" ref="S138:S140" si="191">H138/1000</f>
        <v>-43372280</v>
      </c>
      <c r="T138" s="24">
        <f t="shared" ref="T138:T140" si="192">I138/1000</f>
        <v>-27847317</v>
      </c>
      <c r="U138" s="24">
        <f t="shared" ref="U138:U140" si="193">J138/1000</f>
        <v>-29860831</v>
      </c>
      <c r="V138" s="24">
        <f t="shared" ref="V138:V140" si="194">K138/1000</f>
        <v>122556000</v>
      </c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x14ac:dyDescent="0.25">
      <c r="A139" t="s">
        <v>448</v>
      </c>
      <c r="B139" s="26"/>
      <c r="C139" s="26"/>
      <c r="D139" s="26">
        <v>-19554000000</v>
      </c>
      <c r="E139" s="26">
        <v>15626000000</v>
      </c>
      <c r="F139" s="26">
        <v>41572000000</v>
      </c>
      <c r="G139" s="26">
        <v>44064000000</v>
      </c>
      <c r="H139" s="26">
        <v>54600000000</v>
      </c>
      <c r="I139" s="26">
        <v>73232000000</v>
      </c>
      <c r="J139" s="26">
        <v>112820000000</v>
      </c>
      <c r="K139" s="26"/>
      <c r="M139" s="24">
        <f>B139/1000</f>
        <v>0</v>
      </c>
      <c r="N139" s="24">
        <f t="shared" si="186"/>
        <v>0</v>
      </c>
      <c r="O139" s="24">
        <f t="shared" si="187"/>
        <v>-19554000</v>
      </c>
      <c r="P139" s="24">
        <f t="shared" si="188"/>
        <v>15626000</v>
      </c>
      <c r="Q139" s="24">
        <f t="shared" si="189"/>
        <v>41572000</v>
      </c>
      <c r="R139" s="24">
        <f t="shared" si="190"/>
        <v>44064000</v>
      </c>
      <c r="S139" s="24">
        <f t="shared" si="191"/>
        <v>54600000</v>
      </c>
      <c r="T139" s="24">
        <f t="shared" si="192"/>
        <v>73232000</v>
      </c>
      <c r="U139" s="24">
        <f t="shared" si="193"/>
        <v>112820000</v>
      </c>
      <c r="V139" s="24">
        <f t="shared" si="194"/>
        <v>0</v>
      </c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25">
      <c r="A140" t="s">
        <v>449</v>
      </c>
      <c r="B140" s="26">
        <f>B120+IF(ISBLANK(B132),B133,B132)</f>
        <v>-98203758000</v>
      </c>
      <c r="C140" s="26"/>
      <c r="D140" s="26">
        <f t="shared" ref="D140:K140" si="195">D120+IF(ISBLANK(D132),D133,D132)</f>
        <v>-81332176000</v>
      </c>
      <c r="E140" s="26">
        <f t="shared" si="195"/>
        <v>-70631046000</v>
      </c>
      <c r="F140" s="26">
        <f t="shared" si="195"/>
        <v>-47883037000</v>
      </c>
      <c r="G140" s="26">
        <f t="shared" si="195"/>
        <v>-42099604000</v>
      </c>
      <c r="H140" s="26">
        <f t="shared" si="195"/>
        <v>-40631280000</v>
      </c>
      <c r="I140" s="26">
        <f t="shared" si="195"/>
        <v>-27847317000</v>
      </c>
      <c r="J140" s="26">
        <f t="shared" si="195"/>
        <v>-29860831000</v>
      </c>
      <c r="K140" s="26">
        <f t="shared" si="195"/>
        <v>-29682156000</v>
      </c>
      <c r="M140" s="24">
        <f>B140/1000</f>
        <v>-98203758</v>
      </c>
      <c r="N140" s="24">
        <f t="shared" si="186"/>
        <v>0</v>
      </c>
      <c r="O140" s="24">
        <f t="shared" si="187"/>
        <v>-81332176</v>
      </c>
      <c r="P140" s="24">
        <f t="shared" si="188"/>
        <v>-70631046</v>
      </c>
      <c r="Q140" s="24">
        <f t="shared" si="189"/>
        <v>-47883037</v>
      </c>
      <c r="R140" s="24">
        <f t="shared" si="190"/>
        <v>-42099604</v>
      </c>
      <c r="S140" s="24">
        <f t="shared" si="191"/>
        <v>-40631280</v>
      </c>
      <c r="T140" s="24">
        <f t="shared" si="192"/>
        <v>-27847317</v>
      </c>
      <c r="U140" s="24">
        <f t="shared" si="193"/>
        <v>-29860831</v>
      </c>
      <c r="V140" s="24">
        <f t="shared" si="194"/>
        <v>-29682156</v>
      </c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25">
      <c r="A141" t="s">
        <v>450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>
        <v>31085000000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25">
      <c r="A142" t="s">
        <v>451</v>
      </c>
      <c r="B142" s="26"/>
      <c r="C142" s="26"/>
      <c r="D142" s="26"/>
      <c r="E142" s="26"/>
      <c r="F142" s="26"/>
      <c r="G142" s="26"/>
      <c r="H142" s="26"/>
      <c r="I142" s="26"/>
      <c r="J142" s="26">
        <v>15775000000</v>
      </c>
      <c r="K142" s="26">
        <v>48618000000</v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25">
      <c r="A143" t="s">
        <v>452</v>
      </c>
      <c r="B143" s="26"/>
      <c r="C143" s="26"/>
      <c r="D143" s="26"/>
      <c r="E143" s="26"/>
      <c r="F143" s="26"/>
      <c r="G143" s="26"/>
      <c r="H143" s="26"/>
      <c r="I143" s="26"/>
      <c r="J143" s="26">
        <v>40138000000</v>
      </c>
      <c r="K143" s="2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25">
      <c r="A144" t="s">
        <v>453</v>
      </c>
      <c r="B144" s="26"/>
      <c r="C144" s="26"/>
      <c r="D144" s="26"/>
      <c r="E144" s="26"/>
      <c r="F144" s="26"/>
      <c r="G144" s="26"/>
      <c r="H144" s="26"/>
      <c r="I144" s="26">
        <v>23243000000</v>
      </c>
      <c r="J144" s="26">
        <v>30243000000</v>
      </c>
      <c r="K144" s="2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25">
      <c r="A145" t="s">
        <v>454</v>
      </c>
      <c r="B145" s="26"/>
      <c r="C145" s="26"/>
      <c r="D145" s="26"/>
      <c r="E145" s="26"/>
      <c r="F145" s="26"/>
      <c r="G145" s="26"/>
      <c r="H145" s="26"/>
      <c r="I145" s="26"/>
      <c r="J145" s="26">
        <v>42439000000</v>
      </c>
      <c r="K145" s="26">
        <v>79703000000</v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25">
      <c r="B147" s="26"/>
      <c r="C147" s="26"/>
      <c r="D147" s="26"/>
      <c r="E147" s="26"/>
      <c r="F147" s="26"/>
      <c r="G147" s="26"/>
      <c r="H147" s="26"/>
      <c r="I147" s="26"/>
      <c r="J147" s="26" t="s">
        <v>455</v>
      </c>
      <c r="K147" s="2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25">
      <c r="B148" s="26"/>
      <c r="C148" s="26"/>
      <c r="D148" s="26"/>
      <c r="E148" s="26"/>
      <c r="F148" s="26"/>
      <c r="G148" s="26"/>
      <c r="H148" s="26"/>
      <c r="I148" s="26"/>
      <c r="J148" s="33"/>
      <c r="K148" s="26" t="s">
        <v>456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25">
      <c r="A150" t="s">
        <v>558</v>
      </c>
      <c r="B150" s="53">
        <f t="shared" ref="B150:K150" si="196">B107/B$71</f>
        <v>0</v>
      </c>
      <c r="C150" s="53">
        <f t="shared" ref="C150" si="197">C107/C$71</f>
        <v>0.11053664796483077</v>
      </c>
      <c r="D150" s="53">
        <f t="shared" si="196"/>
        <v>0.11367907955728974</v>
      </c>
      <c r="E150" s="53">
        <f t="shared" si="196"/>
        <v>9.9382658706928084E-2</v>
      </c>
      <c r="F150" s="53">
        <f t="shared" si="196"/>
        <v>0.12103419167796042</v>
      </c>
      <c r="G150" s="53">
        <f t="shared" si="196"/>
        <v>0.10931043785073064</v>
      </c>
      <c r="H150" s="53">
        <f t="shared" si="196"/>
        <v>0.11142800364256561</v>
      </c>
      <c r="I150" s="53">
        <f t="shared" si="196"/>
        <v>0.11071697951208993</v>
      </c>
      <c r="J150" s="53">
        <f t="shared" si="196"/>
        <v>6.2081819352352498E-2</v>
      </c>
      <c r="K150" s="53">
        <f t="shared" si="196"/>
        <v>0.1245694877633122</v>
      </c>
      <c r="M150" s="25">
        <f>B150</f>
        <v>0</v>
      </c>
      <c r="N150" s="25">
        <f t="shared" ref="N150:V154" si="198">C150</f>
        <v>0.11053664796483077</v>
      </c>
      <c r="O150" s="25">
        <f t="shared" si="198"/>
        <v>0.11367907955728974</v>
      </c>
      <c r="P150" s="25">
        <f t="shared" si="198"/>
        <v>9.9382658706928084E-2</v>
      </c>
      <c r="Q150" s="25">
        <f t="shared" si="198"/>
        <v>0.12103419167796042</v>
      </c>
      <c r="R150" s="25">
        <f t="shared" si="198"/>
        <v>0.10931043785073064</v>
      </c>
      <c r="S150" s="25">
        <f t="shared" si="198"/>
        <v>0.11142800364256561</v>
      </c>
      <c r="T150" s="25">
        <f t="shared" si="198"/>
        <v>0.11071697951208993</v>
      </c>
      <c r="U150" s="25">
        <f t="shared" si="198"/>
        <v>6.2081819352352498E-2</v>
      </c>
      <c r="V150" s="25">
        <f t="shared" si="198"/>
        <v>0.1245694877633122</v>
      </c>
    </row>
    <row r="151" spans="1:33" x14ac:dyDescent="0.25">
      <c r="A151" t="s">
        <v>458</v>
      </c>
      <c r="B151" s="53">
        <f>B96/B$71</f>
        <v>8.0647530329403472E-2</v>
      </c>
      <c r="C151" s="53">
        <f>C96/C$71</f>
        <v>0.10869154669727037</v>
      </c>
      <c r="D151" s="53">
        <f t="shared" ref="D151:K151" si="199">D96/D71</f>
        <v>0.11131443751070974</v>
      </c>
      <c r="E151" s="53">
        <f t="shared" si="199"/>
        <v>0.10970142800888517</v>
      </c>
      <c r="F151" s="53">
        <f t="shared" si="199"/>
        <v>0.11680926769255687</v>
      </c>
      <c r="G151" s="53">
        <f t="shared" si="199"/>
        <v>0.10664521884523648</v>
      </c>
      <c r="H151" s="53">
        <f t="shared" si="199"/>
        <v>0.1099246186084688</v>
      </c>
      <c r="I151" s="53">
        <f t="shared" si="199"/>
        <v>0.10940153618143054</v>
      </c>
      <c r="J151" s="53">
        <f t="shared" si="199"/>
        <v>4.2478980814942592E-2</v>
      </c>
      <c r="K151" s="53">
        <f t="shared" si="199"/>
        <v>0.11363245874140912</v>
      </c>
      <c r="M151" s="25">
        <f>B151</f>
        <v>8.0647530329403472E-2</v>
      </c>
      <c r="N151" s="25">
        <f t="shared" si="198"/>
        <v>0.10869154669727037</v>
      </c>
      <c r="O151" s="25">
        <f t="shared" si="198"/>
        <v>0.11131443751070974</v>
      </c>
      <c r="P151" s="25">
        <f t="shared" si="198"/>
        <v>0.10970142800888517</v>
      </c>
      <c r="Q151" s="25">
        <f t="shared" si="198"/>
        <v>0.11680926769255687</v>
      </c>
      <c r="R151" s="25">
        <f t="shared" si="198"/>
        <v>0.10664521884523648</v>
      </c>
      <c r="S151" s="25">
        <f t="shared" si="198"/>
        <v>0.1099246186084688</v>
      </c>
      <c r="T151" s="25">
        <f t="shared" si="198"/>
        <v>0.10940153618143054</v>
      </c>
      <c r="U151" s="25">
        <f t="shared" si="198"/>
        <v>4.2478980814942592E-2</v>
      </c>
      <c r="V151" s="25">
        <f t="shared" si="198"/>
        <v>0.11363245874140912</v>
      </c>
      <c r="Y151" s="27">
        <f>M151</f>
        <v>8.0647530329403472E-2</v>
      </c>
      <c r="Z151" s="27">
        <f t="shared" ref="Z151:AG153" si="200">O151</f>
        <v>0.11131443751070974</v>
      </c>
      <c r="AA151" s="27">
        <f t="shared" si="200"/>
        <v>0.10970142800888517</v>
      </c>
      <c r="AB151" s="27">
        <f t="shared" si="200"/>
        <v>0.11680926769255687</v>
      </c>
      <c r="AC151" s="27">
        <f t="shared" si="200"/>
        <v>0.10664521884523648</v>
      </c>
      <c r="AD151" s="27">
        <f t="shared" si="200"/>
        <v>0.1099246186084688</v>
      </c>
      <c r="AE151" s="27">
        <f t="shared" si="200"/>
        <v>0.10940153618143054</v>
      </c>
      <c r="AF151" s="27">
        <f t="shared" si="200"/>
        <v>4.2478980814942592E-2</v>
      </c>
      <c r="AG151" s="27">
        <f t="shared" si="200"/>
        <v>0.11363245874140912</v>
      </c>
    </row>
    <row r="152" spans="1:33" x14ac:dyDescent="0.25">
      <c r="A152" t="s">
        <v>459</v>
      </c>
      <c r="B152" s="53">
        <f>B91/B$71</f>
        <v>1.8549751487800414E-2</v>
      </c>
      <c r="C152" s="53">
        <f t="shared" ref="C152" si="201">C91/C71</f>
        <v>3.4489552179362649E-2</v>
      </c>
      <c r="D152" s="53">
        <f t="shared" ref="D152:K152" si="202">D91/D71</f>
        <v>1.9965908150935852E-2</v>
      </c>
      <c r="E152" s="53">
        <f t="shared" si="202"/>
        <v>1.7505261116116135E-2</v>
      </c>
      <c r="F152" s="53">
        <f t="shared" si="202"/>
        <v>1.3075713560158991E-2</v>
      </c>
      <c r="G152" s="53">
        <f t="shared" si="202"/>
        <v>1.0711757839939957E-2</v>
      </c>
      <c r="H152" s="53">
        <f t="shared" si="202"/>
        <v>3.1835740548416806E-2</v>
      </c>
      <c r="I152" s="53">
        <f t="shared" si="202"/>
        <v>4.2072522100017024E-2</v>
      </c>
      <c r="J152" s="53">
        <f t="shared" si="202"/>
        <v>-4.7932280190051607E-2</v>
      </c>
      <c r="K152" s="53">
        <f t="shared" si="202"/>
        <v>1.8360360796884346E-2</v>
      </c>
      <c r="M152" s="25">
        <f>B152</f>
        <v>1.8549751487800414E-2</v>
      </c>
      <c r="N152" s="25">
        <f t="shared" si="198"/>
        <v>3.4489552179362649E-2</v>
      </c>
      <c r="O152" s="25">
        <f t="shared" si="198"/>
        <v>1.9965908150935852E-2</v>
      </c>
      <c r="P152" s="25">
        <f t="shared" si="198"/>
        <v>1.7505261116116135E-2</v>
      </c>
      <c r="Q152" s="25">
        <f t="shared" si="198"/>
        <v>1.3075713560158991E-2</v>
      </c>
      <c r="R152" s="25">
        <f t="shared" si="198"/>
        <v>1.0711757839939957E-2</v>
      </c>
      <c r="S152" s="25">
        <f t="shared" si="198"/>
        <v>3.1835740548416806E-2</v>
      </c>
      <c r="T152" s="25">
        <f t="shared" si="198"/>
        <v>4.2072522100017024E-2</v>
      </c>
      <c r="U152" s="25">
        <f t="shared" si="198"/>
        <v>-4.7932280190051607E-2</v>
      </c>
      <c r="V152" s="25">
        <f t="shared" si="198"/>
        <v>1.8360360796884346E-2</v>
      </c>
      <c r="Y152" s="27">
        <f>M152</f>
        <v>1.8549751487800414E-2</v>
      </c>
      <c r="Z152" s="27">
        <f t="shared" si="200"/>
        <v>1.9965908150935852E-2</v>
      </c>
      <c r="AA152" s="27">
        <f t="shared" si="200"/>
        <v>1.7505261116116135E-2</v>
      </c>
      <c r="AB152" s="27">
        <f t="shared" si="200"/>
        <v>1.3075713560158991E-2</v>
      </c>
      <c r="AC152" s="27">
        <f t="shared" si="200"/>
        <v>1.0711757839939957E-2</v>
      </c>
      <c r="AD152" s="27">
        <f t="shared" si="200"/>
        <v>3.1835740548416806E-2</v>
      </c>
      <c r="AE152" s="27">
        <f t="shared" si="200"/>
        <v>4.2072522100017024E-2</v>
      </c>
      <c r="AF152" s="27">
        <f t="shared" si="200"/>
        <v>-4.7932280190051607E-2</v>
      </c>
      <c r="AG152" s="27">
        <f t="shared" si="200"/>
        <v>1.8360360796884346E-2</v>
      </c>
    </row>
    <row r="153" spans="1:33" x14ac:dyDescent="0.25">
      <c r="A153" t="s">
        <v>460</v>
      </c>
      <c r="B153" s="34">
        <f>B$29/B96</f>
        <v>5.4276814681518202</v>
      </c>
      <c r="C153" s="34">
        <f>C$29/C96</f>
        <v>3.1705366287329291</v>
      </c>
      <c r="D153" s="34">
        <f t="shared" ref="D153:K153" si="203">D29/D96</f>
        <v>3.3056917734839795</v>
      </c>
      <c r="E153" s="34">
        <f t="shared" si="203"/>
        <v>3.5624033041037673</v>
      </c>
      <c r="F153" s="34">
        <f t="shared" si="203"/>
        <v>3.3011849665609594</v>
      </c>
      <c r="G153" s="34">
        <f t="shared" si="203"/>
        <v>2.8801407044992628</v>
      </c>
      <c r="H153" s="34">
        <f t="shared" si="203"/>
        <v>2.2011847865984024</v>
      </c>
      <c r="I153" s="34">
        <f t="shared" si="203"/>
        <v>2.2042582238328028</v>
      </c>
      <c r="J153" s="34">
        <f t="shared" si="203"/>
        <v>9.4452356639974209</v>
      </c>
      <c r="K153" s="34">
        <f t="shared" si="203"/>
        <v>3.026982190925275</v>
      </c>
      <c r="M153" s="35">
        <f>B153</f>
        <v>5.4276814681518202</v>
      </c>
      <c r="N153" s="35">
        <f t="shared" si="198"/>
        <v>3.1705366287329291</v>
      </c>
      <c r="O153" s="35">
        <f t="shared" si="198"/>
        <v>3.3056917734839795</v>
      </c>
      <c r="P153" s="35">
        <f t="shared" si="198"/>
        <v>3.5624033041037673</v>
      </c>
      <c r="Q153" s="35">
        <f t="shared" si="198"/>
        <v>3.3011849665609594</v>
      </c>
      <c r="R153" s="35">
        <f t="shared" si="198"/>
        <v>2.8801407044992628</v>
      </c>
      <c r="S153" s="35">
        <f t="shared" si="198"/>
        <v>2.2011847865984024</v>
      </c>
      <c r="T153" s="35">
        <f t="shared" si="198"/>
        <v>2.2042582238328028</v>
      </c>
      <c r="U153" s="35">
        <f t="shared" si="198"/>
        <v>9.4452356639974209</v>
      </c>
      <c r="V153" s="35">
        <f t="shared" si="198"/>
        <v>3.026982190925275</v>
      </c>
      <c r="Y153" s="36">
        <f>M153</f>
        <v>5.4276814681518202</v>
      </c>
      <c r="Z153" s="36">
        <f t="shared" si="200"/>
        <v>3.3056917734839795</v>
      </c>
      <c r="AA153" s="36">
        <f t="shared" si="200"/>
        <v>3.5624033041037673</v>
      </c>
      <c r="AB153" s="36">
        <f t="shared" si="200"/>
        <v>3.3011849665609594</v>
      </c>
      <c r="AC153" s="36">
        <f t="shared" si="200"/>
        <v>2.8801407044992628</v>
      </c>
      <c r="AD153" s="36">
        <f t="shared" si="200"/>
        <v>2.2011847865984024</v>
      </c>
      <c r="AE153" s="36">
        <f t="shared" si="200"/>
        <v>2.2042582238328028</v>
      </c>
      <c r="AF153" s="36">
        <f t="shared" si="200"/>
        <v>9.4452356639974209</v>
      </c>
      <c r="AG153" s="36">
        <f t="shared" si="200"/>
        <v>3.026982190925275</v>
      </c>
    </row>
    <row r="154" spans="1:33" x14ac:dyDescent="0.25">
      <c r="A154" t="s">
        <v>461</v>
      </c>
      <c r="B154" s="34"/>
      <c r="C154" s="34">
        <f t="shared" ref="C154" si="204">C$29/C107</f>
        <v>3.1176133561330297</v>
      </c>
      <c r="D154" s="34">
        <f t="shared" ref="D154:K154" si="205">D$29/D107</f>
        <v>3.2369299767571285</v>
      </c>
      <c r="E154" s="34">
        <f t="shared" si="205"/>
        <v>3.932282902152938</v>
      </c>
      <c r="F154" s="34">
        <f t="shared" si="205"/>
        <v>3.1859509541540612</v>
      </c>
      <c r="G154" s="34">
        <f t="shared" si="205"/>
        <v>2.8099168000390953</v>
      </c>
      <c r="H154" s="34">
        <f t="shared" si="205"/>
        <v>2.1714864328877068</v>
      </c>
      <c r="I154" s="34">
        <f t="shared" si="205"/>
        <v>2.1780691352903783</v>
      </c>
      <c r="J154" s="34">
        <f t="shared" si="205"/>
        <v>6.4628258119557547</v>
      </c>
      <c r="K154" s="34">
        <f t="shared" si="205"/>
        <v>2.7612173341745043</v>
      </c>
      <c r="M154" s="35">
        <f t="shared" ref="M154" si="206">B154</f>
        <v>0</v>
      </c>
      <c r="N154" s="35">
        <f t="shared" si="198"/>
        <v>3.1176133561330297</v>
      </c>
      <c r="O154" s="35">
        <f t="shared" si="198"/>
        <v>3.2369299767571285</v>
      </c>
      <c r="P154" s="35">
        <f t="shared" si="198"/>
        <v>3.932282902152938</v>
      </c>
      <c r="Q154" s="35">
        <f t="shared" si="198"/>
        <v>3.1859509541540612</v>
      </c>
      <c r="R154" s="35">
        <f t="shared" si="198"/>
        <v>2.8099168000390953</v>
      </c>
      <c r="S154" s="35">
        <f t="shared" si="198"/>
        <v>2.1714864328877068</v>
      </c>
      <c r="T154" s="35">
        <f t="shared" si="198"/>
        <v>2.1780691352903783</v>
      </c>
      <c r="U154" s="35">
        <f t="shared" si="198"/>
        <v>6.4628258119557547</v>
      </c>
      <c r="V154" s="35">
        <f t="shared" si="198"/>
        <v>2.7612173341745043</v>
      </c>
      <c r="Y154" t="str">
        <f>CONCATENATE(TEXT(Y153, "0,0" ), " x")</f>
        <v>5,4 x</v>
      </c>
      <c r="Z154" t="str">
        <f t="shared" ref="Z154:AG154" si="207">CONCATENATE(TEXT(Z153, "0,0" ), " x")</f>
        <v>3,3 x</v>
      </c>
      <c r="AA154" t="str">
        <f t="shared" si="207"/>
        <v>3,6 x</v>
      </c>
      <c r="AB154" t="str">
        <f t="shared" si="207"/>
        <v>3,3 x</v>
      </c>
      <c r="AC154" t="str">
        <f t="shared" si="207"/>
        <v>2,9 x</v>
      </c>
      <c r="AD154" t="str">
        <f t="shared" si="207"/>
        <v>2,2 x</v>
      </c>
      <c r="AE154" t="str">
        <f t="shared" si="207"/>
        <v>2,2 x</v>
      </c>
      <c r="AF154" t="str">
        <f t="shared" si="207"/>
        <v>9,4 x</v>
      </c>
      <c r="AG154" t="str">
        <f t="shared" si="207"/>
        <v>3,0 x</v>
      </c>
    </row>
    <row r="155" spans="1:33" x14ac:dyDescent="0.25">
      <c r="A155" t="s">
        <v>557</v>
      </c>
      <c r="B155" s="53">
        <f>B$73/B$71</f>
        <v>0.10113217255097953</v>
      </c>
      <c r="C155" s="53">
        <f t="shared" ref="C155:K155" si="208">C$73/C$71</f>
        <v>0.14022704343251513</v>
      </c>
      <c r="D155" s="53">
        <f t="shared" si="208"/>
        <v>0.13825670786817346</v>
      </c>
      <c r="E155" s="53">
        <f t="shared" si="208"/>
        <v>0.13029047437097382</v>
      </c>
      <c r="F155" s="53">
        <f t="shared" si="208"/>
        <v>0.14256503454728808</v>
      </c>
      <c r="G155" s="53">
        <f t="shared" si="208"/>
        <v>0.15424509277585025</v>
      </c>
      <c r="H155" s="53">
        <f t="shared" si="208"/>
        <v>0.13708766751117035</v>
      </c>
      <c r="I155" s="53">
        <f t="shared" si="208"/>
        <v>0.11832780156932708</v>
      </c>
      <c r="J155" s="53">
        <f t="shared" si="208"/>
        <v>6.4529263399359493E-2</v>
      </c>
      <c r="K155" s="53">
        <f t="shared" si="208"/>
        <v>0.11537629493963047</v>
      </c>
    </row>
    <row r="176" spans="2:14" x14ac:dyDescent="0.25">
      <c r="B176" s="21" t="s">
        <v>467</v>
      </c>
      <c r="C176" s="21" t="s">
        <v>361</v>
      </c>
      <c r="D176" s="21" t="s">
        <v>462</v>
      </c>
      <c r="E176" s="21">
        <v>2015</v>
      </c>
      <c r="F176" s="21" t="s">
        <v>362</v>
      </c>
      <c r="G176" s="21" t="s">
        <v>363</v>
      </c>
      <c r="H176" s="21" t="s">
        <v>364</v>
      </c>
      <c r="I176" s="21" t="s">
        <v>365</v>
      </c>
      <c r="J176" s="21" t="s">
        <v>366</v>
      </c>
      <c r="K176" s="21" t="s">
        <v>463</v>
      </c>
      <c r="M176" s="21" t="s">
        <v>464</v>
      </c>
      <c r="N176" s="21" t="s">
        <v>465</v>
      </c>
    </row>
    <row r="177" spans="1:14" x14ac:dyDescent="0.25">
      <c r="A177" t="s">
        <v>466</v>
      </c>
      <c r="B177" s="26">
        <f t="shared" ref="B177:K178" si="209">B95</f>
        <v>181061000</v>
      </c>
      <c r="C177" s="26">
        <f t="shared" ref="C177" si="210">C95</f>
        <v>212339000</v>
      </c>
      <c r="D177" s="26">
        <f t="shared" si="209"/>
        <v>240352000</v>
      </c>
      <c r="E177" s="26">
        <f t="shared" si="209"/>
        <v>301464000</v>
      </c>
      <c r="F177" s="26">
        <f t="shared" si="209"/>
        <v>316903000</v>
      </c>
      <c r="G177" s="26">
        <f t="shared" si="209"/>
        <v>301997000</v>
      </c>
      <c r="H177" s="26">
        <f t="shared" si="209"/>
        <v>355575000</v>
      </c>
      <c r="I177" s="26">
        <f t="shared" si="209"/>
        <v>419554000</v>
      </c>
      <c r="J177" s="26">
        <f t="shared" si="209"/>
        <v>556861000</v>
      </c>
      <c r="K177" s="26">
        <f t="shared" si="209"/>
        <v>588168000</v>
      </c>
      <c r="M177" s="37">
        <f>SMALL(C177:K177,1)</f>
        <v>212339000</v>
      </c>
      <c r="N177" s="37">
        <f>LARGE(C177:K177,1)</f>
        <v>588168000</v>
      </c>
    </row>
    <row r="178" spans="1:14" x14ac:dyDescent="0.25">
      <c r="A178" t="s">
        <v>417</v>
      </c>
      <c r="B178" s="26">
        <f t="shared" si="209"/>
        <v>459571000</v>
      </c>
      <c r="C178" s="26">
        <f t="shared" ref="C178" si="211">C96</f>
        <v>665898000</v>
      </c>
      <c r="D178" s="26">
        <f t="shared" si="209"/>
        <v>658055000</v>
      </c>
      <c r="E178" s="26">
        <f t="shared" si="209"/>
        <v>751066000</v>
      </c>
      <c r="F178" s="26">
        <f t="shared" si="209"/>
        <v>796225000</v>
      </c>
      <c r="G178" s="26">
        <f t="shared" si="209"/>
        <v>798553000</v>
      </c>
      <c r="H178" s="26">
        <f t="shared" si="209"/>
        <v>1057068000</v>
      </c>
      <c r="I178" s="26">
        <f t="shared" si="209"/>
        <v>1095809000</v>
      </c>
      <c r="J178" s="26">
        <f t="shared" si="209"/>
        <v>372140000</v>
      </c>
      <c r="K178" s="26">
        <f t="shared" si="209"/>
        <v>1327357000</v>
      </c>
      <c r="M178" s="37">
        <f t="shared" ref="M178:M180" si="212">SMALL(C178:K178,1)</f>
        <v>372140000</v>
      </c>
      <c r="N178" s="37">
        <f t="shared" ref="N178:N180" si="213">LARGE(C178:K178,1)</f>
        <v>1327357000</v>
      </c>
    </row>
    <row r="179" spans="1:14" x14ac:dyDescent="0.25">
      <c r="A179" t="s">
        <v>404</v>
      </c>
      <c r="B179" s="26">
        <f t="shared" ref="B179:K179" si="214">B81</f>
        <v>-160624000</v>
      </c>
      <c r="C179" s="26">
        <f t="shared" ref="C179" si="215">C81</f>
        <v>-212924000</v>
      </c>
      <c r="D179" s="26">
        <f t="shared" si="214"/>
        <v>-256460000</v>
      </c>
      <c r="E179" s="26">
        <f t="shared" si="214"/>
        <v>-316760000</v>
      </c>
      <c r="F179" s="26">
        <f t="shared" si="214"/>
        <v>-344490000</v>
      </c>
      <c r="G179" s="26">
        <f t="shared" si="214"/>
        <v>-347208000</v>
      </c>
      <c r="H179" s="26">
        <f t="shared" si="214"/>
        <v>-220819000</v>
      </c>
      <c r="I179" s="26">
        <f t="shared" si="214"/>
        <v>-169904000</v>
      </c>
      <c r="J179" s="26">
        <f t="shared" si="214"/>
        <v>-232986000</v>
      </c>
      <c r="K179" s="26">
        <f t="shared" si="214"/>
        <v>-226870000</v>
      </c>
      <c r="M179" s="37">
        <f t="shared" si="212"/>
        <v>-347208000</v>
      </c>
      <c r="N179" s="37">
        <f t="shared" si="213"/>
        <v>-169904000</v>
      </c>
    </row>
    <row r="180" spans="1:14" x14ac:dyDescent="0.25">
      <c r="A180" t="s">
        <v>415</v>
      </c>
      <c r="B180" s="26">
        <f t="shared" ref="B180:K180" si="216">B93</f>
        <v>66864000</v>
      </c>
      <c r="C180" s="26">
        <f t="shared" ref="C180" si="217">C93</f>
        <v>170329000</v>
      </c>
      <c r="D180" s="26">
        <f t="shared" si="216"/>
        <v>67777000</v>
      </c>
      <c r="E180" s="26">
        <f t="shared" si="216"/>
        <v>49366000</v>
      </c>
      <c r="F180" s="26">
        <f t="shared" si="216"/>
        <v>21531000</v>
      </c>
      <c r="G180" s="26">
        <f t="shared" si="216"/>
        <v>6403000</v>
      </c>
      <c r="H180" s="26">
        <f t="shared" si="216"/>
        <v>201325000</v>
      </c>
      <c r="I180" s="26">
        <f t="shared" si="216"/>
        <v>337435000</v>
      </c>
      <c r="J180" s="26">
        <f t="shared" si="216"/>
        <v>-491780000</v>
      </c>
      <c r="K180" s="26">
        <f t="shared" si="216"/>
        <v>117712000</v>
      </c>
      <c r="M180" s="37">
        <f t="shared" si="212"/>
        <v>-491780000</v>
      </c>
      <c r="N180" s="37">
        <f t="shared" si="213"/>
        <v>337435000</v>
      </c>
    </row>
    <row r="182" spans="1:14" x14ac:dyDescent="0.25">
      <c r="M182" s="37">
        <f>SMALL(M177:M180, 1)</f>
        <v>-491780000</v>
      </c>
      <c r="N182" s="37">
        <f>LARGE(N177:N180, 1)</f>
        <v>1327357000</v>
      </c>
    </row>
    <row r="184" spans="1:14" x14ac:dyDescent="0.25">
      <c r="M184" t="s">
        <v>483</v>
      </c>
    </row>
    <row r="200" spans="1:14" x14ac:dyDescent="0.25">
      <c r="B200" s="21" t="s">
        <v>467</v>
      </c>
      <c r="C200" s="21" t="s">
        <v>361</v>
      </c>
      <c r="D200" s="21" t="s">
        <v>462</v>
      </c>
      <c r="E200" s="21">
        <v>2015</v>
      </c>
      <c r="F200" s="21" t="s">
        <v>362</v>
      </c>
      <c r="G200" s="21" t="s">
        <v>363</v>
      </c>
      <c r="H200" s="21" t="s">
        <v>364</v>
      </c>
      <c r="I200" s="21" t="s">
        <v>365</v>
      </c>
      <c r="J200" s="21" t="s">
        <v>366</v>
      </c>
      <c r="K200" s="21" t="s">
        <v>463</v>
      </c>
      <c r="M200" s="21" t="s">
        <v>464</v>
      </c>
      <c r="N200" s="21" t="s">
        <v>465</v>
      </c>
    </row>
    <row r="201" spans="1:14" x14ac:dyDescent="0.25">
      <c r="A201" t="s">
        <v>485</v>
      </c>
      <c r="B201" s="26">
        <f>B71</f>
        <v>5698513000</v>
      </c>
      <c r="C201" s="40">
        <f t="shared" ref="C201:K201" si="218">C71</f>
        <v>6126493000</v>
      </c>
      <c r="D201" s="26">
        <f t="shared" si="218"/>
        <v>5911677000</v>
      </c>
      <c r="E201" s="26">
        <f t="shared" si="218"/>
        <v>6846456000</v>
      </c>
      <c r="F201" s="26">
        <f t="shared" si="218"/>
        <v>6816454000</v>
      </c>
      <c r="G201" s="26">
        <f t="shared" si="218"/>
        <v>7487940000</v>
      </c>
      <c r="H201" s="26">
        <f t="shared" si="218"/>
        <v>9616299000</v>
      </c>
      <c r="I201" s="26">
        <f t="shared" si="218"/>
        <v>10016395000</v>
      </c>
      <c r="J201" s="26">
        <f t="shared" si="218"/>
        <v>8760568000</v>
      </c>
      <c r="K201" s="26">
        <f t="shared" si="218"/>
        <v>11681143000</v>
      </c>
      <c r="M201" s="37">
        <f>SMALL(C201:K201,1)</f>
        <v>5911677000</v>
      </c>
      <c r="N201" s="37">
        <f>LARGE(C201:K201,1)</f>
        <v>11681143000</v>
      </c>
    </row>
    <row r="202" spans="1:14" x14ac:dyDescent="0.25">
      <c r="A202" t="s">
        <v>486</v>
      </c>
      <c r="B202" s="39">
        <v>5698513000</v>
      </c>
      <c r="C202" s="39">
        <v>6126493000</v>
      </c>
      <c r="D202" s="26">
        <v>5911677000</v>
      </c>
      <c r="E202" s="26">
        <v>6846456000</v>
      </c>
      <c r="F202" s="26">
        <v>6816454000</v>
      </c>
      <c r="G202" s="26">
        <v>7487940000</v>
      </c>
      <c r="H202" s="26">
        <v>9616299000</v>
      </c>
      <c r="I202" s="26">
        <v>10016395000</v>
      </c>
      <c r="J202" s="26">
        <v>8760568000</v>
      </c>
      <c r="K202" s="26">
        <f>Iochpe_Trimestral_aux!K262</f>
        <v>11681142000</v>
      </c>
      <c r="M202" s="37">
        <f t="shared" ref="M202:M204" si="219">SMALL(C202:K202,1)</f>
        <v>5911677000</v>
      </c>
      <c r="N202" s="37">
        <f t="shared" ref="N202:N204" si="220">LARGE(C202:K202,1)</f>
        <v>11681142000</v>
      </c>
    </row>
    <row r="203" spans="1:14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M203" s="37" t="e">
        <f t="shared" si="219"/>
        <v>#NUM!</v>
      </c>
      <c r="N203" s="37" t="e">
        <f t="shared" si="220"/>
        <v>#NUM!</v>
      </c>
    </row>
    <row r="204" spans="1:14" x14ac:dyDescent="0.25">
      <c r="A204" t="s">
        <v>487</v>
      </c>
      <c r="B204" s="39">
        <f>B205</f>
        <v>2325983000</v>
      </c>
      <c r="C204" s="26">
        <f xml:space="preserve"> 1305743000 + 1058450000</f>
        <v>2364193000</v>
      </c>
      <c r="D204" s="26">
        <f>1057039000 + 854478000</f>
        <v>1911517000</v>
      </c>
      <c r="E204" s="26">
        <v>1350617000</v>
      </c>
      <c r="F204" s="26">
        <v>1400256000</v>
      </c>
      <c r="G204" s="26">
        <v>1831325000</v>
      </c>
      <c r="H204" s="26">
        <v>2369451000</v>
      </c>
      <c r="I204" s="26">
        <v>2680917000</v>
      </c>
      <c r="J204" s="26">
        <v>1935066000</v>
      </c>
      <c r="K204" s="26">
        <f>Iochpe_Trimestral_aux!K264</f>
        <v>2962874000</v>
      </c>
      <c r="M204" s="37">
        <f t="shared" si="219"/>
        <v>1350617000</v>
      </c>
      <c r="N204" s="37">
        <f t="shared" si="220"/>
        <v>2962874000</v>
      </c>
    </row>
    <row r="205" spans="1:14" x14ac:dyDescent="0.25">
      <c r="A205" t="s">
        <v>488</v>
      </c>
      <c r="B205" s="26">
        <f>SUM(B206:B211)</f>
        <v>2325983000</v>
      </c>
      <c r="C205" s="26">
        <f t="shared" ref="C205" si="221">SUM(C206:C210)</f>
        <v>2364194000</v>
      </c>
      <c r="D205" s="26">
        <f t="shared" ref="D205" si="222">SUM(D206:D210)</f>
        <v>1911517000</v>
      </c>
      <c r="E205" s="26">
        <f t="shared" ref="E205" si="223">SUM(E206:E210)</f>
        <v>1350617000</v>
      </c>
      <c r="F205" s="26">
        <f t="shared" ref="F205" si="224">SUM(F206:F210)</f>
        <v>1400256000</v>
      </c>
      <c r="G205" s="26">
        <f t="shared" ref="G205" si="225">SUM(G206:G210)</f>
        <v>1831326000</v>
      </c>
      <c r="H205" s="26">
        <f t="shared" ref="H205" si="226">SUM(H206:H210)</f>
        <v>2369450000</v>
      </c>
      <c r="I205" s="26">
        <f t="shared" ref="I205" si="227">SUM(I206:I210)</f>
        <v>2680916000</v>
      </c>
      <c r="J205" s="26">
        <f>SUM(J206:J210)</f>
        <v>1935064000</v>
      </c>
      <c r="K205" s="26">
        <f>Iochpe_Trimestral_aux!K265</f>
        <v>2962872000</v>
      </c>
    </row>
    <row r="206" spans="1:14" x14ac:dyDescent="0.25">
      <c r="A206" t="s">
        <v>489</v>
      </c>
      <c r="B206" s="26">
        <v>161523000</v>
      </c>
      <c r="C206" s="26">
        <v>191112000</v>
      </c>
      <c r="D206" s="26">
        <v>160407000</v>
      </c>
      <c r="E206" s="26">
        <v>199016000</v>
      </c>
      <c r="F206" s="26">
        <v>312376000</v>
      </c>
      <c r="G206" s="26">
        <v>395444000</v>
      </c>
      <c r="H206" s="26">
        <v>500118000</v>
      </c>
      <c r="I206" s="26">
        <v>487134000</v>
      </c>
      <c r="J206" s="26">
        <v>293729000</v>
      </c>
      <c r="K206" s="26">
        <f>Iochpe_Trimestral_aux!K266</f>
        <v>434997000</v>
      </c>
      <c r="M206" s="37" t="e">
        <f>SMALL(M201:M204, 1)</f>
        <v>#NUM!</v>
      </c>
      <c r="N206" s="37" t="e">
        <f>LARGE(N201:N204, 1)</f>
        <v>#NUM!</v>
      </c>
    </row>
    <row r="207" spans="1:14" x14ac:dyDescent="0.25">
      <c r="A207" t="s">
        <v>490</v>
      </c>
      <c r="B207" s="26">
        <v>446496000</v>
      </c>
      <c r="C207" s="26">
        <v>455758000</v>
      </c>
      <c r="D207" s="26">
        <v>381532000</v>
      </c>
      <c r="E207" s="26">
        <v>304439000</v>
      </c>
      <c r="F207" s="26">
        <v>268571000</v>
      </c>
      <c r="G207" s="26">
        <v>376384000</v>
      </c>
      <c r="H207" s="26">
        <v>412645000</v>
      </c>
      <c r="I207" s="26">
        <v>463092000</v>
      </c>
      <c r="J207" s="26">
        <v>298353000</v>
      </c>
      <c r="K207" s="26">
        <f>Iochpe_Trimestral_aux!K267</f>
        <v>394612000</v>
      </c>
    </row>
    <row r="208" spans="1:14" x14ac:dyDescent="0.25">
      <c r="A208" t="s">
        <v>491</v>
      </c>
      <c r="B208" s="26">
        <v>422632000</v>
      </c>
      <c r="C208" s="26">
        <v>658874000</v>
      </c>
      <c r="D208" s="26">
        <v>515100000</v>
      </c>
      <c r="E208" s="26">
        <v>299630000</v>
      </c>
      <c r="F208" s="26">
        <v>295083000</v>
      </c>
      <c r="G208" s="26">
        <v>403149000</v>
      </c>
      <c r="H208" s="26">
        <v>566701000</v>
      </c>
      <c r="I208" s="26">
        <v>650169000</v>
      </c>
      <c r="J208" s="26">
        <v>554523000</v>
      </c>
      <c r="K208" s="26">
        <f>Iochpe_Trimestral_aux!K268</f>
        <v>871091000</v>
      </c>
    </row>
    <row r="209" spans="1:11" x14ac:dyDescent="0.25">
      <c r="A209" t="s">
        <v>492</v>
      </c>
      <c r="B209" s="39">
        <f>917574000*(C209/(C$210+C$209))</f>
        <v>197038494.45887855</v>
      </c>
      <c r="C209" s="26">
        <v>227290000</v>
      </c>
      <c r="D209" s="26">
        <v>206094000</v>
      </c>
      <c r="E209" s="26">
        <v>152231000</v>
      </c>
      <c r="F209" s="26">
        <v>142529000</v>
      </c>
      <c r="G209" s="26">
        <v>165782000</v>
      </c>
      <c r="H209" s="26">
        <v>165893000</v>
      </c>
      <c r="I209" s="26">
        <v>193013000</v>
      </c>
      <c r="J209" s="26">
        <v>166979000</v>
      </c>
      <c r="K209" s="26">
        <f>Iochpe_Trimestral_aux!K269</f>
        <v>268198000</v>
      </c>
    </row>
    <row r="210" spans="1:11" x14ac:dyDescent="0.25">
      <c r="A210" t="s">
        <v>493</v>
      </c>
      <c r="B210" s="39">
        <f>917574000*(C210/(C$210+C$209))</f>
        <v>720535505.54112148</v>
      </c>
      <c r="C210" s="26">
        <v>831160000</v>
      </c>
      <c r="D210" s="26">
        <v>648384000</v>
      </c>
      <c r="E210" s="26">
        <v>395301000</v>
      </c>
      <c r="F210" s="26">
        <v>381697000</v>
      </c>
      <c r="G210" s="26">
        <v>490567000</v>
      </c>
      <c r="H210" s="26">
        <v>724093000</v>
      </c>
      <c r="I210" s="26">
        <v>887508000</v>
      </c>
      <c r="J210" s="26">
        <v>621480000</v>
      </c>
      <c r="K210" s="26">
        <f>Iochpe_Trimestral_aux!K270</f>
        <v>993974000</v>
      </c>
    </row>
    <row r="211" spans="1:11" x14ac:dyDescent="0.25">
      <c r="A211" t="s">
        <v>505</v>
      </c>
      <c r="B211" s="39">
        <v>377758000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f>Iochpe_Trimestral_aux!K271</f>
        <v>0</v>
      </c>
    </row>
    <row r="213" spans="1:11" x14ac:dyDescent="0.25">
      <c r="A213" t="s">
        <v>494</v>
      </c>
      <c r="B213" s="39">
        <f>B214</f>
        <v>1363833000</v>
      </c>
      <c r="C213" s="26">
        <f xml:space="preserve"> 1080721000 + 385337000</f>
        <v>1466058000</v>
      </c>
      <c r="D213" s="26">
        <f>1228008000+467055000</f>
        <v>1695063000</v>
      </c>
      <c r="E213" s="26">
        <v>2346260000</v>
      </c>
      <c r="F213" s="26">
        <v>2144369000</v>
      </c>
      <c r="G213" s="26">
        <v>2127084000</v>
      </c>
      <c r="H213" s="26">
        <v>2812051000</v>
      </c>
      <c r="I213" s="26">
        <v>3042807000</v>
      </c>
      <c r="J213" s="26">
        <v>2602020000</v>
      </c>
      <c r="K213" s="26">
        <f>Iochpe_Trimestral_aux!K273</f>
        <v>3303855000</v>
      </c>
    </row>
    <row r="214" spans="1:11" x14ac:dyDescent="0.25">
      <c r="A214" t="s">
        <v>495</v>
      </c>
      <c r="B214" s="26">
        <f t="shared" ref="B214" si="228">SUM(B215:B219)</f>
        <v>1363833000</v>
      </c>
      <c r="C214" s="26">
        <f t="shared" ref="C214" si="229">SUM(C215:C219)</f>
        <v>1466058000</v>
      </c>
      <c r="D214" s="26">
        <f t="shared" ref="D214" si="230">SUM(D215:D219)</f>
        <v>1695063000</v>
      </c>
      <c r="E214" s="26">
        <f t="shared" ref="E214" si="231">SUM(E215:E219)</f>
        <v>2346261000</v>
      </c>
      <c r="F214" s="26">
        <f t="shared" ref="F214" si="232">SUM(F215:F219)</f>
        <v>2144370000</v>
      </c>
      <c r="G214" s="26">
        <f t="shared" ref="G214" si="233">SUM(G215:G219)</f>
        <v>2127084000</v>
      </c>
      <c r="H214" s="26">
        <f t="shared" ref="H214" si="234">SUM(H215:H219)</f>
        <v>2812051000</v>
      </c>
      <c r="I214" s="26">
        <f t="shared" ref="I214" si="235">SUM(I215:I219)</f>
        <v>3042806000</v>
      </c>
      <c r="J214" s="26">
        <f>SUM(J215:J219)</f>
        <v>2602019000</v>
      </c>
      <c r="K214" s="26">
        <f>Iochpe_Trimestral_aux!K274</f>
        <v>3303855000</v>
      </c>
    </row>
    <row r="215" spans="1:11" x14ac:dyDescent="0.25">
      <c r="A215" t="s">
        <v>489</v>
      </c>
      <c r="B215" s="26">
        <v>125925000</v>
      </c>
      <c r="C215" s="26">
        <v>174535000</v>
      </c>
      <c r="D215" s="26">
        <v>186560000</v>
      </c>
      <c r="E215" s="26">
        <v>282250000</v>
      </c>
      <c r="F215" s="26">
        <v>291782000</v>
      </c>
      <c r="G215" s="26">
        <v>260400000</v>
      </c>
      <c r="H215" s="26">
        <v>362206000</v>
      </c>
      <c r="I215" s="26">
        <v>436014000</v>
      </c>
      <c r="J215" s="26">
        <v>381311000</v>
      </c>
      <c r="K215" s="26">
        <f>Iochpe_Trimestral_aux!K275</f>
        <v>471883000</v>
      </c>
    </row>
    <row r="216" spans="1:11" x14ac:dyDescent="0.25">
      <c r="A216" t="s">
        <v>490</v>
      </c>
      <c r="B216" s="26">
        <v>708645000</v>
      </c>
      <c r="C216" s="26">
        <v>742587000</v>
      </c>
      <c r="D216" s="26">
        <v>845883000</v>
      </c>
      <c r="E216" s="26">
        <v>1098581000</v>
      </c>
      <c r="F216" s="26">
        <v>1078141000</v>
      </c>
      <c r="G216" s="26">
        <v>994901000</v>
      </c>
      <c r="H216" s="26">
        <v>1163606000</v>
      </c>
      <c r="I216" s="26">
        <v>1093102000</v>
      </c>
      <c r="J216" s="26">
        <v>1041586000</v>
      </c>
      <c r="K216" s="26">
        <f>Iochpe_Trimestral_aux!K276</f>
        <v>1361283000</v>
      </c>
    </row>
    <row r="217" spans="1:11" x14ac:dyDescent="0.25">
      <c r="A217" t="s">
        <v>491</v>
      </c>
      <c r="B217" s="26">
        <v>133751000</v>
      </c>
      <c r="C217" s="26">
        <v>163599000</v>
      </c>
      <c r="D217" s="26">
        <v>195565000</v>
      </c>
      <c r="E217" s="26">
        <v>266686000</v>
      </c>
      <c r="F217" s="26">
        <v>241862000</v>
      </c>
      <c r="G217" s="26">
        <v>221227000</v>
      </c>
      <c r="H217" s="26">
        <v>336741000</v>
      </c>
      <c r="I217" s="26">
        <v>384414000</v>
      </c>
      <c r="J217" s="26">
        <v>309670000</v>
      </c>
      <c r="K217" s="26">
        <f>Iochpe_Trimestral_aux!K277</f>
        <v>356528000</v>
      </c>
    </row>
    <row r="218" spans="1:11" x14ac:dyDescent="0.25">
      <c r="A218" t="s">
        <v>492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f>Iochpe_Trimestral_aux!K278</f>
        <v>0</v>
      </c>
    </row>
    <row r="219" spans="1:11" x14ac:dyDescent="0.25">
      <c r="A219" t="s">
        <v>493</v>
      </c>
      <c r="B219" s="26">
        <v>395512000</v>
      </c>
      <c r="C219" s="26">
        <v>385337000</v>
      </c>
      <c r="D219" s="26">
        <v>467055000</v>
      </c>
      <c r="E219" s="26">
        <v>698744000</v>
      </c>
      <c r="F219" s="26">
        <v>532585000</v>
      </c>
      <c r="G219" s="26">
        <v>650556000</v>
      </c>
      <c r="H219" s="26">
        <v>949498000</v>
      </c>
      <c r="I219" s="26">
        <v>1129276000</v>
      </c>
      <c r="J219" s="26">
        <v>869452000</v>
      </c>
      <c r="K219" s="26">
        <f>Iochpe_Trimestral_aux!K279</f>
        <v>1114161000</v>
      </c>
    </row>
    <row r="220" spans="1:11" x14ac:dyDescent="0.25">
      <c r="A220" t="s">
        <v>505</v>
      </c>
      <c r="B220" s="26">
        <v>0</v>
      </c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f>Iochpe_Trimestral_aux!K280</f>
        <v>0</v>
      </c>
    </row>
    <row r="222" spans="1:11" x14ac:dyDescent="0.25">
      <c r="A222" t="s">
        <v>496</v>
      </c>
      <c r="B222" s="39">
        <f>B223</f>
        <v>1594849000</v>
      </c>
      <c r="C222" s="26">
        <v>1892525000</v>
      </c>
      <c r="D222" s="26">
        <v>1944135000</v>
      </c>
      <c r="E222" s="26">
        <v>2587779000</v>
      </c>
      <c r="F222" s="26">
        <v>2717409000</v>
      </c>
      <c r="G222" s="26">
        <v>2872248000</v>
      </c>
      <c r="H222" s="26">
        <v>3512939000</v>
      </c>
      <c r="I222" s="26">
        <v>3385710000</v>
      </c>
      <c r="J222" s="26">
        <v>3441442000</v>
      </c>
      <c r="K222" s="26">
        <f>Iochpe_Trimestral_aux!K282</f>
        <v>4207102000</v>
      </c>
    </row>
    <row r="223" spans="1:11" x14ac:dyDescent="0.25">
      <c r="A223" t="s">
        <v>497</v>
      </c>
      <c r="B223" s="26">
        <f t="shared" ref="B223" si="236">SUM(B224:B228)</f>
        <v>1594849000</v>
      </c>
      <c r="C223" s="26">
        <f t="shared" ref="C223" si="237">SUM(C224:C228)</f>
        <v>1892526000</v>
      </c>
      <c r="D223" s="26">
        <f t="shared" ref="D223" si="238">SUM(D224:D228)</f>
        <v>1944135000</v>
      </c>
      <c r="E223" s="26">
        <f t="shared" ref="E223" si="239">SUM(E224:E228)</f>
        <v>2587779000</v>
      </c>
      <c r="F223" s="26">
        <f t="shared" ref="F223" si="240">SUM(F224:F228)</f>
        <v>2717409000</v>
      </c>
      <c r="G223" s="26">
        <f t="shared" ref="G223" si="241">SUM(G224:G228)</f>
        <v>2872248000</v>
      </c>
      <c r="H223" s="26">
        <f t="shared" ref="H223" si="242">SUM(H224:H228)</f>
        <v>3512939000</v>
      </c>
      <c r="I223" s="26">
        <f t="shared" ref="I223" si="243">SUM(I224:I228)</f>
        <v>3385710000</v>
      </c>
      <c r="J223" s="26">
        <f>SUM(J224:J228)</f>
        <v>3441443000</v>
      </c>
      <c r="K223" s="26">
        <f>Iochpe_Trimestral_aux!K283</f>
        <v>4207104000</v>
      </c>
    </row>
    <row r="224" spans="1:11" x14ac:dyDescent="0.25">
      <c r="A224" t="s">
        <v>489</v>
      </c>
      <c r="B224" s="26">
        <v>555918000</v>
      </c>
      <c r="C224" s="26">
        <v>724777000</v>
      </c>
      <c r="D224" s="26">
        <v>806077000</v>
      </c>
      <c r="E224" s="26">
        <v>1216426000</v>
      </c>
      <c r="F224" s="26">
        <v>1317986000</v>
      </c>
      <c r="G224" s="26">
        <v>1434080000</v>
      </c>
      <c r="H224" s="26">
        <v>1783382000</v>
      </c>
      <c r="I224" s="26">
        <v>1765859000</v>
      </c>
      <c r="J224" s="26">
        <v>1679263000</v>
      </c>
      <c r="K224" s="26">
        <f>Iochpe_Trimestral_aux!K284</f>
        <v>2044643000</v>
      </c>
    </row>
    <row r="225" spans="1:11" x14ac:dyDescent="0.25">
      <c r="A225" t="s">
        <v>490</v>
      </c>
      <c r="B225" s="26">
        <v>589665000</v>
      </c>
      <c r="C225" s="26">
        <v>649168000</v>
      </c>
      <c r="D225" s="26">
        <v>627644000</v>
      </c>
      <c r="E225" s="26">
        <v>809035000</v>
      </c>
      <c r="F225" s="26">
        <v>814205000</v>
      </c>
      <c r="G225" s="26">
        <v>811470000</v>
      </c>
      <c r="H225" s="26">
        <v>958421000</v>
      </c>
      <c r="I225" s="26">
        <v>925762000</v>
      </c>
      <c r="J225" s="26">
        <v>986384000</v>
      </c>
      <c r="K225" s="26">
        <f>Iochpe_Trimestral_aux!K285</f>
        <v>1122089000</v>
      </c>
    </row>
    <row r="226" spans="1:11" x14ac:dyDescent="0.25">
      <c r="A226" t="s">
        <v>491</v>
      </c>
      <c r="B226" s="26">
        <v>449266000</v>
      </c>
      <c r="C226" s="26">
        <v>518581000</v>
      </c>
      <c r="D226" s="26">
        <v>510414000</v>
      </c>
      <c r="E226" s="26">
        <v>562318000</v>
      </c>
      <c r="F226" s="26">
        <v>585218000</v>
      </c>
      <c r="G226" s="26">
        <v>626698000</v>
      </c>
      <c r="H226" s="26">
        <v>771136000</v>
      </c>
      <c r="I226" s="26">
        <v>694089000</v>
      </c>
      <c r="J226" s="26">
        <v>775796000</v>
      </c>
      <c r="K226" s="26">
        <f>Iochpe_Trimestral_aux!K286</f>
        <v>1040372000</v>
      </c>
    </row>
    <row r="227" spans="1:11" x14ac:dyDescent="0.25">
      <c r="A227" t="s">
        <v>492</v>
      </c>
      <c r="B227" s="26">
        <v>0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f>Iochpe_Trimestral_aux!K287</f>
        <v>0</v>
      </c>
    </row>
    <row r="228" spans="1:11" x14ac:dyDescent="0.25">
      <c r="A228" t="s">
        <v>493</v>
      </c>
      <c r="B228" s="26">
        <v>0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f>Iochpe_Trimestral_aux!K288</f>
        <v>0</v>
      </c>
    </row>
    <row r="229" spans="1:11" x14ac:dyDescent="0.25">
      <c r="A229" t="s">
        <v>505</v>
      </c>
      <c r="B229" s="26">
        <v>0</v>
      </c>
      <c r="C229" s="26">
        <v>0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f>Iochpe_Trimestral_aux!K289</f>
        <v>0</v>
      </c>
    </row>
    <row r="231" spans="1:11" x14ac:dyDescent="0.25">
      <c r="A231" t="s">
        <v>498</v>
      </c>
      <c r="B231" s="39">
        <f>B232</f>
        <v>413850000</v>
      </c>
      <c r="C231" s="26">
        <v>403716000</v>
      </c>
      <c r="D231" s="26">
        <v>360962000</v>
      </c>
      <c r="E231" s="26">
        <v>561800000</v>
      </c>
      <c r="F231" s="26">
        <v>554420000</v>
      </c>
      <c r="G231" s="26">
        <v>657282000</v>
      </c>
      <c r="H231" s="26">
        <v>921857000</v>
      </c>
      <c r="I231" s="26">
        <v>906961000</v>
      </c>
      <c r="J231" s="26">
        <v>782040000</v>
      </c>
      <c r="K231" s="26">
        <f>Iochpe_Trimestral_aux!K291</f>
        <v>1207310000</v>
      </c>
    </row>
    <row r="232" spans="1:11" x14ac:dyDescent="0.25">
      <c r="A232" t="s">
        <v>499</v>
      </c>
      <c r="B232" s="26">
        <f t="shared" ref="B232" si="244">SUM(B233:B237)</f>
        <v>413850000</v>
      </c>
      <c r="C232" s="26">
        <f t="shared" ref="C232" si="245">SUM(C233:C237)</f>
        <v>403715000</v>
      </c>
      <c r="D232" s="26">
        <f t="shared" ref="D232" si="246">SUM(D233:D237)</f>
        <v>360962000</v>
      </c>
      <c r="E232" s="26">
        <f t="shared" ref="E232" si="247">SUM(E233:E237)</f>
        <v>561801000</v>
      </c>
      <c r="F232" s="26">
        <f t="shared" ref="F232" si="248">SUM(F233:F237)</f>
        <v>554420000</v>
      </c>
      <c r="G232" s="26">
        <f t="shared" ref="G232" si="249">SUM(G233:G237)</f>
        <v>657283000</v>
      </c>
      <c r="H232" s="26">
        <f t="shared" ref="H232" si="250">SUM(H233:H237)</f>
        <v>921858000</v>
      </c>
      <c r="I232" s="26">
        <f t="shared" ref="I232" si="251">SUM(I233:I237)</f>
        <v>906961000</v>
      </c>
      <c r="J232" s="26">
        <f>SUM(J233:J237)</f>
        <v>782040000</v>
      </c>
      <c r="K232" s="26">
        <f>Iochpe_Trimestral_aux!K292</f>
        <v>1207310000</v>
      </c>
    </row>
    <row r="233" spans="1:11" x14ac:dyDescent="0.25">
      <c r="A233" t="s">
        <v>489</v>
      </c>
      <c r="B233" s="26">
        <v>267769000</v>
      </c>
      <c r="C233" s="26">
        <v>257257000</v>
      </c>
      <c r="D233" s="26">
        <v>189318000</v>
      </c>
      <c r="E233" s="26">
        <v>324017000</v>
      </c>
      <c r="F233" s="26">
        <v>306208000</v>
      </c>
      <c r="G233" s="26">
        <v>374047000</v>
      </c>
      <c r="H233" s="26">
        <v>583971000</v>
      </c>
      <c r="I233" s="26">
        <v>600613000</v>
      </c>
      <c r="J233" s="26">
        <v>509487000</v>
      </c>
      <c r="K233" s="26">
        <f>Iochpe_Trimestral_aux!K293</f>
        <v>750322000</v>
      </c>
    </row>
    <row r="234" spans="1:11" x14ac:dyDescent="0.25">
      <c r="A234" t="s">
        <v>490</v>
      </c>
      <c r="B234" s="26">
        <v>33324000</v>
      </c>
      <c r="C234" s="26">
        <v>38713000</v>
      </c>
      <c r="D234" s="26">
        <v>49696000</v>
      </c>
      <c r="E234" s="26">
        <v>67650000</v>
      </c>
      <c r="F234" s="26">
        <v>75418000</v>
      </c>
      <c r="G234" s="26">
        <v>82566000</v>
      </c>
      <c r="H234" s="26">
        <v>79223000</v>
      </c>
      <c r="I234" s="26">
        <v>85070000</v>
      </c>
      <c r="J234" s="26">
        <v>99742000</v>
      </c>
      <c r="K234" s="26">
        <f>Iochpe_Trimestral_aux!K294</f>
        <v>161059000</v>
      </c>
    </row>
    <row r="235" spans="1:11" x14ac:dyDescent="0.25">
      <c r="A235" t="s">
        <v>491</v>
      </c>
      <c r="B235" s="26">
        <v>112757000</v>
      </c>
      <c r="C235" s="26">
        <v>107745000</v>
      </c>
      <c r="D235" s="26">
        <v>121948000</v>
      </c>
      <c r="E235" s="26">
        <v>170134000</v>
      </c>
      <c r="F235" s="26">
        <v>172794000</v>
      </c>
      <c r="G235" s="26">
        <v>200670000</v>
      </c>
      <c r="H235" s="26">
        <v>258664000</v>
      </c>
      <c r="I235" s="26">
        <v>221278000</v>
      </c>
      <c r="J235" s="26">
        <v>172811000</v>
      </c>
      <c r="K235" s="26">
        <f>Iochpe_Trimestral_aux!K295</f>
        <v>295929000</v>
      </c>
    </row>
    <row r="236" spans="1:11" x14ac:dyDescent="0.25">
      <c r="A236" t="s">
        <v>492</v>
      </c>
      <c r="B236" s="26">
        <v>0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f>Iochpe_Trimestral_aux!K296</f>
        <v>0</v>
      </c>
    </row>
    <row r="237" spans="1:11" x14ac:dyDescent="0.25">
      <c r="A237" t="s">
        <v>493</v>
      </c>
      <c r="B237" s="26">
        <v>0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f>Iochpe_Trimestral_aux!K297</f>
        <v>0</v>
      </c>
    </row>
    <row r="238" spans="1:11" x14ac:dyDescent="0.25">
      <c r="A238" t="s">
        <v>505</v>
      </c>
      <c r="B238" s="26">
        <v>0</v>
      </c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f>Iochpe_Trimestral_aux!K298</f>
        <v>0</v>
      </c>
    </row>
    <row r="240" spans="1:11" x14ac:dyDescent="0.25">
      <c r="A240" t="s">
        <v>500</v>
      </c>
      <c r="B240" s="26">
        <v>5698513000</v>
      </c>
      <c r="C240" s="26">
        <v>6126493000</v>
      </c>
      <c r="D240" s="26">
        <v>5911677000</v>
      </c>
      <c r="E240" s="26">
        <v>6846456000</v>
      </c>
      <c r="F240" s="26">
        <v>6816454000</v>
      </c>
      <c r="G240" s="26">
        <v>7487940000</v>
      </c>
      <c r="H240" s="26">
        <v>9616299000</v>
      </c>
      <c r="I240" s="26">
        <v>10016395000</v>
      </c>
      <c r="J240" s="26">
        <v>8760568000</v>
      </c>
      <c r="K240" s="26">
        <f>Iochpe_Trimestral_aux!K300</f>
        <v>11681142000</v>
      </c>
    </row>
    <row r="241" spans="1:22" x14ac:dyDescent="0.25">
      <c r="A241" t="s">
        <v>501</v>
      </c>
      <c r="B241" s="26">
        <f>SUM(B242:B244)</f>
        <v>5698513000</v>
      </c>
      <c r="C241" s="26">
        <f t="shared" ref="C241:H241" si="252">SUM(C242:C243)</f>
        <v>6126493000</v>
      </c>
      <c r="D241" s="26">
        <f t="shared" si="252"/>
        <v>5911678000</v>
      </c>
      <c r="E241" s="26">
        <f t="shared" si="252"/>
        <v>6846455000</v>
      </c>
      <c r="F241" s="26">
        <f t="shared" si="252"/>
        <v>6816455000</v>
      </c>
      <c r="G241" s="26">
        <f t="shared" si="252"/>
        <v>7487939000</v>
      </c>
      <c r="H241" s="26">
        <f t="shared" si="252"/>
        <v>9616299000</v>
      </c>
      <c r="I241" s="26">
        <f>SUM(I242:I243)</f>
        <v>10016395000</v>
      </c>
      <c r="J241" s="26">
        <f>SUM(J242:J243)</f>
        <v>8760567000</v>
      </c>
      <c r="K241" s="26">
        <f>Iochpe_Trimestral_aux!K301</f>
        <v>11681141000</v>
      </c>
    </row>
    <row r="242" spans="1:22" x14ac:dyDescent="0.25">
      <c r="A242" t="s">
        <v>502</v>
      </c>
      <c r="B242" s="26">
        <v>4007670000</v>
      </c>
      <c r="C242" s="26">
        <v>4682706000</v>
      </c>
      <c r="D242" s="26">
        <v>4590145000</v>
      </c>
      <c r="E242" s="26">
        <v>5600180000</v>
      </c>
      <c r="F242" s="26">
        <v>5759644000</v>
      </c>
      <c r="G242" s="26">
        <v>6181034000</v>
      </c>
      <c r="H242" s="26">
        <v>7776814000</v>
      </c>
      <c r="I242" s="26">
        <v>7806597000</v>
      </c>
      <c r="J242" s="26">
        <v>7102655000</v>
      </c>
      <c r="K242" s="26">
        <f>Iochpe_Trimestral_aux!K302</f>
        <v>9304808000</v>
      </c>
    </row>
    <row r="243" spans="1:22" x14ac:dyDescent="0.25">
      <c r="A243" t="s">
        <v>503</v>
      </c>
      <c r="B243" s="26">
        <v>1313085000</v>
      </c>
      <c r="C243" s="26">
        <v>1443787000</v>
      </c>
      <c r="D243" s="26">
        <v>1321533000</v>
      </c>
      <c r="E243" s="26">
        <v>1246275000</v>
      </c>
      <c r="F243" s="26">
        <v>1056811000</v>
      </c>
      <c r="G243" s="26">
        <v>1306905000</v>
      </c>
      <c r="H243" s="26">
        <v>1839485000</v>
      </c>
      <c r="I243" s="26">
        <v>2209798000</v>
      </c>
      <c r="J243" s="26">
        <v>1657912000</v>
      </c>
      <c r="K243" s="26">
        <f>Iochpe_Trimestral_aux!K303</f>
        <v>2376333000</v>
      </c>
    </row>
    <row r="244" spans="1:22" x14ac:dyDescent="0.25">
      <c r="A244" t="s">
        <v>504</v>
      </c>
      <c r="B244" s="37">
        <v>377758000</v>
      </c>
      <c r="K244" s="26">
        <f>Iochpe_Trimestral_aux!K304</f>
        <v>0</v>
      </c>
    </row>
    <row r="248" spans="1:22" x14ac:dyDescent="0.25">
      <c r="A248" t="s">
        <v>484</v>
      </c>
      <c r="B248" s="26">
        <f>SUM(B249:B254)</f>
        <v>5698515000</v>
      </c>
      <c r="C248" s="26">
        <f t="shared" ref="C248:K248" si="253">SUM(C249:C254)</f>
        <v>6126493000</v>
      </c>
      <c r="D248" s="26">
        <f t="shared" si="253"/>
        <v>5911677000</v>
      </c>
      <c r="E248" s="26">
        <f t="shared" si="253"/>
        <v>6846458000</v>
      </c>
      <c r="F248" s="26">
        <f t="shared" si="253"/>
        <v>6816455000</v>
      </c>
      <c r="G248" s="26">
        <f t="shared" si="253"/>
        <v>7487941000</v>
      </c>
      <c r="H248" s="26">
        <f t="shared" si="253"/>
        <v>9616298000</v>
      </c>
      <c r="I248" s="26">
        <f t="shared" si="253"/>
        <v>10016393000</v>
      </c>
      <c r="J248" s="26">
        <f t="shared" si="253"/>
        <v>8760566000</v>
      </c>
      <c r="K248" s="26">
        <f t="shared" si="253"/>
        <v>11681141000</v>
      </c>
      <c r="M248" s="26">
        <f>B248/1000000</f>
        <v>5698.5150000000003</v>
      </c>
      <c r="N248" s="26">
        <f t="shared" ref="N248" si="254">C248/1000000</f>
        <v>6126.4930000000004</v>
      </c>
      <c r="O248" s="26">
        <f t="shared" ref="O248" si="255">D248/1000000</f>
        <v>5911.6769999999997</v>
      </c>
      <c r="P248" s="26">
        <f t="shared" ref="P248" si="256">E248/1000000</f>
        <v>6846.4579999999996</v>
      </c>
      <c r="Q248" s="26">
        <f t="shared" ref="Q248" si="257">F248/1000000</f>
        <v>6816.4549999999999</v>
      </c>
      <c r="R248" s="26">
        <f t="shared" ref="R248" si="258">G248/1000000</f>
        <v>7487.9409999999998</v>
      </c>
      <c r="S248" s="26">
        <f t="shared" ref="S248" si="259">H248/1000000</f>
        <v>9616.2980000000007</v>
      </c>
      <c r="T248" s="26">
        <f t="shared" ref="T248" si="260">I248/1000000</f>
        <v>10016.393</v>
      </c>
      <c r="U248" s="26">
        <f t="shared" ref="U248" si="261">J248/1000000</f>
        <v>8760.5660000000007</v>
      </c>
      <c r="V248" s="26">
        <f t="shared" ref="V248" si="262">K248/1000000</f>
        <v>11681.141</v>
      </c>
    </row>
    <row r="249" spans="1:22" x14ac:dyDescent="0.25">
      <c r="A249" t="s">
        <v>489</v>
      </c>
      <c r="B249" s="26">
        <f t="shared" ref="B249:B254" si="263">B206+B215+B224+B233</f>
        <v>1111135000</v>
      </c>
      <c r="C249" s="26">
        <f t="shared" ref="C249:K249" si="264">C206+C215+C224+C233</f>
        <v>1347681000</v>
      </c>
      <c r="D249" s="26">
        <f t="shared" si="264"/>
        <v>1342362000</v>
      </c>
      <c r="E249" s="26">
        <f t="shared" si="264"/>
        <v>2021709000</v>
      </c>
      <c r="F249" s="26">
        <f t="shared" si="264"/>
        <v>2228352000</v>
      </c>
      <c r="G249" s="26">
        <f t="shared" si="264"/>
        <v>2463971000</v>
      </c>
      <c r="H249" s="26">
        <f t="shared" si="264"/>
        <v>3229677000</v>
      </c>
      <c r="I249" s="26">
        <f t="shared" si="264"/>
        <v>3289620000</v>
      </c>
      <c r="J249" s="26">
        <f t="shared" si="264"/>
        <v>2863790000</v>
      </c>
      <c r="K249" s="26">
        <f t="shared" si="264"/>
        <v>3701845000</v>
      </c>
      <c r="M249" s="26">
        <f>B249/1000000</f>
        <v>1111.135</v>
      </c>
      <c r="N249" s="26">
        <f t="shared" ref="N249:V254" si="265">C249/1000000</f>
        <v>1347.681</v>
      </c>
      <c r="O249" s="26">
        <f t="shared" si="265"/>
        <v>1342.3620000000001</v>
      </c>
      <c r="P249" s="26">
        <f t="shared" si="265"/>
        <v>2021.7090000000001</v>
      </c>
      <c r="Q249" s="26">
        <f t="shared" si="265"/>
        <v>2228.3519999999999</v>
      </c>
      <c r="R249" s="26">
        <f t="shared" si="265"/>
        <v>2463.971</v>
      </c>
      <c r="S249" s="26">
        <f t="shared" si="265"/>
        <v>3229.6770000000001</v>
      </c>
      <c r="T249" s="26">
        <f t="shared" si="265"/>
        <v>3289.62</v>
      </c>
      <c r="U249" s="26">
        <f t="shared" si="265"/>
        <v>2863.79</v>
      </c>
      <c r="V249" s="26">
        <f t="shared" si="265"/>
        <v>3701.8449999999998</v>
      </c>
    </row>
    <row r="250" spans="1:22" x14ac:dyDescent="0.25">
      <c r="A250" t="s">
        <v>490</v>
      </c>
      <c r="B250" s="26">
        <f t="shared" si="263"/>
        <v>1778130000</v>
      </c>
      <c r="C250" s="26">
        <f t="shared" ref="C250:K250" si="266">C207+C216+C225+C234</f>
        <v>1886226000</v>
      </c>
      <c r="D250" s="26">
        <f t="shared" si="266"/>
        <v>1904755000</v>
      </c>
      <c r="E250" s="26">
        <f t="shared" si="266"/>
        <v>2279705000</v>
      </c>
      <c r="F250" s="26">
        <f t="shared" si="266"/>
        <v>2236335000</v>
      </c>
      <c r="G250" s="26">
        <f t="shared" si="266"/>
        <v>2265321000</v>
      </c>
      <c r="H250" s="26">
        <f t="shared" si="266"/>
        <v>2613895000</v>
      </c>
      <c r="I250" s="26">
        <f t="shared" si="266"/>
        <v>2567026000</v>
      </c>
      <c r="J250" s="26">
        <f t="shared" si="266"/>
        <v>2426065000</v>
      </c>
      <c r="K250" s="26">
        <f t="shared" si="266"/>
        <v>3039043000</v>
      </c>
      <c r="M250" s="26">
        <f t="shared" ref="M250:M254" si="267">B250/1000000</f>
        <v>1778.13</v>
      </c>
      <c r="N250" s="26">
        <f t="shared" si="265"/>
        <v>1886.2260000000001</v>
      </c>
      <c r="O250" s="26">
        <f t="shared" si="265"/>
        <v>1904.7550000000001</v>
      </c>
      <c r="P250" s="26">
        <f t="shared" si="265"/>
        <v>2279.7049999999999</v>
      </c>
      <c r="Q250" s="26">
        <f t="shared" si="265"/>
        <v>2236.335</v>
      </c>
      <c r="R250" s="26">
        <f t="shared" si="265"/>
        <v>2265.3209999999999</v>
      </c>
      <c r="S250" s="26">
        <f t="shared" si="265"/>
        <v>2613.895</v>
      </c>
      <c r="T250" s="26">
        <f t="shared" si="265"/>
        <v>2567.0259999999998</v>
      </c>
      <c r="U250" s="26">
        <f t="shared" si="265"/>
        <v>2426.0650000000001</v>
      </c>
      <c r="V250" s="26">
        <f t="shared" si="265"/>
        <v>3039.0430000000001</v>
      </c>
    </row>
    <row r="251" spans="1:22" x14ac:dyDescent="0.25">
      <c r="A251" t="s">
        <v>491</v>
      </c>
      <c r="B251" s="26">
        <f t="shared" si="263"/>
        <v>1118406000</v>
      </c>
      <c r="C251" s="26">
        <f t="shared" ref="C251:K251" si="268">C208+C217+C226+C235</f>
        <v>1448799000</v>
      </c>
      <c r="D251" s="26">
        <f t="shared" si="268"/>
        <v>1343027000</v>
      </c>
      <c r="E251" s="26">
        <f t="shared" si="268"/>
        <v>1298768000</v>
      </c>
      <c r="F251" s="26">
        <f t="shared" si="268"/>
        <v>1294957000</v>
      </c>
      <c r="G251" s="26">
        <f t="shared" si="268"/>
        <v>1451744000</v>
      </c>
      <c r="H251" s="26">
        <f t="shared" si="268"/>
        <v>1933242000</v>
      </c>
      <c r="I251" s="26">
        <f t="shared" si="268"/>
        <v>1949950000</v>
      </c>
      <c r="J251" s="26">
        <f t="shared" si="268"/>
        <v>1812800000</v>
      </c>
      <c r="K251" s="26">
        <f t="shared" si="268"/>
        <v>2563920000</v>
      </c>
      <c r="M251" s="26">
        <f t="shared" si="267"/>
        <v>1118.4059999999999</v>
      </c>
      <c r="N251" s="26">
        <f t="shared" si="265"/>
        <v>1448.799</v>
      </c>
      <c r="O251" s="26">
        <f t="shared" si="265"/>
        <v>1343.027</v>
      </c>
      <c r="P251" s="26">
        <f t="shared" si="265"/>
        <v>1298.768</v>
      </c>
      <c r="Q251" s="26">
        <f t="shared" si="265"/>
        <v>1294.9570000000001</v>
      </c>
      <c r="R251" s="26">
        <f t="shared" si="265"/>
        <v>1451.7439999999999</v>
      </c>
      <c r="S251" s="26">
        <f t="shared" si="265"/>
        <v>1933.242</v>
      </c>
      <c r="T251" s="26">
        <f t="shared" si="265"/>
        <v>1949.95</v>
      </c>
      <c r="U251" s="26">
        <f t="shared" si="265"/>
        <v>1812.8</v>
      </c>
      <c r="V251" s="26">
        <f t="shared" si="265"/>
        <v>2563.92</v>
      </c>
    </row>
    <row r="252" spans="1:22" x14ac:dyDescent="0.25">
      <c r="A252" t="s">
        <v>492</v>
      </c>
      <c r="B252" s="26">
        <f t="shared" si="263"/>
        <v>197038494.45887855</v>
      </c>
      <c r="C252" s="26">
        <f t="shared" ref="C252:K252" si="269">C209+C218+C227+C236</f>
        <v>227290000</v>
      </c>
      <c r="D252" s="26">
        <f t="shared" si="269"/>
        <v>206094000</v>
      </c>
      <c r="E252" s="26">
        <f t="shared" si="269"/>
        <v>152231000</v>
      </c>
      <c r="F252" s="26">
        <f t="shared" si="269"/>
        <v>142529000</v>
      </c>
      <c r="G252" s="26">
        <f t="shared" si="269"/>
        <v>165782000</v>
      </c>
      <c r="H252" s="26">
        <f t="shared" si="269"/>
        <v>165893000</v>
      </c>
      <c r="I252" s="26">
        <f t="shared" si="269"/>
        <v>193013000</v>
      </c>
      <c r="J252" s="26">
        <f t="shared" si="269"/>
        <v>166979000</v>
      </c>
      <c r="K252" s="26">
        <f t="shared" si="269"/>
        <v>268198000</v>
      </c>
      <c r="M252" s="26">
        <f t="shared" si="267"/>
        <v>197.03849445887855</v>
      </c>
      <c r="N252" s="26">
        <f t="shared" si="265"/>
        <v>227.29</v>
      </c>
      <c r="O252" s="26">
        <f t="shared" si="265"/>
        <v>206.09399999999999</v>
      </c>
      <c r="P252" s="26">
        <f t="shared" si="265"/>
        <v>152.23099999999999</v>
      </c>
      <c r="Q252" s="26">
        <f t="shared" si="265"/>
        <v>142.529</v>
      </c>
      <c r="R252" s="26">
        <f t="shared" si="265"/>
        <v>165.78200000000001</v>
      </c>
      <c r="S252" s="26">
        <f t="shared" si="265"/>
        <v>165.893</v>
      </c>
      <c r="T252" s="26">
        <f t="shared" si="265"/>
        <v>193.01300000000001</v>
      </c>
      <c r="U252" s="26">
        <f t="shared" si="265"/>
        <v>166.97900000000001</v>
      </c>
      <c r="V252" s="26">
        <f t="shared" si="265"/>
        <v>268.19799999999998</v>
      </c>
    </row>
    <row r="253" spans="1:22" x14ac:dyDescent="0.25">
      <c r="A253" t="s">
        <v>493</v>
      </c>
      <c r="B253" s="26">
        <f t="shared" si="263"/>
        <v>1116047505.5411215</v>
      </c>
      <c r="C253" s="26">
        <f t="shared" ref="C253:K253" si="270">C210+C219+C228+C237</f>
        <v>1216497000</v>
      </c>
      <c r="D253" s="26">
        <f t="shared" si="270"/>
        <v>1115439000</v>
      </c>
      <c r="E253" s="26">
        <f t="shared" si="270"/>
        <v>1094045000</v>
      </c>
      <c r="F253" s="26">
        <f t="shared" si="270"/>
        <v>914282000</v>
      </c>
      <c r="G253" s="26">
        <f t="shared" si="270"/>
        <v>1141123000</v>
      </c>
      <c r="H253" s="26">
        <f t="shared" si="270"/>
        <v>1673591000</v>
      </c>
      <c r="I253" s="26">
        <f t="shared" si="270"/>
        <v>2016784000</v>
      </c>
      <c r="J253" s="26">
        <f t="shared" si="270"/>
        <v>1490932000</v>
      </c>
      <c r="K253" s="26">
        <f t="shared" si="270"/>
        <v>2108135000</v>
      </c>
      <c r="M253" s="26">
        <f t="shared" si="267"/>
        <v>1116.0475055411214</v>
      </c>
      <c r="N253" s="26">
        <f t="shared" si="265"/>
        <v>1216.4970000000001</v>
      </c>
      <c r="O253" s="26">
        <f t="shared" si="265"/>
        <v>1115.4390000000001</v>
      </c>
      <c r="P253" s="26">
        <f t="shared" si="265"/>
        <v>1094.0450000000001</v>
      </c>
      <c r="Q253" s="26">
        <f t="shared" si="265"/>
        <v>914.28200000000004</v>
      </c>
      <c r="R253" s="26">
        <f t="shared" si="265"/>
        <v>1141.123</v>
      </c>
      <c r="S253" s="26">
        <f t="shared" si="265"/>
        <v>1673.5909999999999</v>
      </c>
      <c r="T253" s="26">
        <f t="shared" si="265"/>
        <v>2016.7840000000001</v>
      </c>
      <c r="U253" s="26">
        <f t="shared" si="265"/>
        <v>1490.932</v>
      </c>
      <c r="V253" s="26">
        <f t="shared" si="265"/>
        <v>2108.1350000000002</v>
      </c>
    </row>
    <row r="254" spans="1:22" x14ac:dyDescent="0.25">
      <c r="A254" t="s">
        <v>505</v>
      </c>
      <c r="B254" s="26">
        <f t="shared" si="263"/>
        <v>377758000</v>
      </c>
      <c r="C254" s="26">
        <f t="shared" ref="C254:K254" si="271">C211+C220+C229+C238</f>
        <v>0</v>
      </c>
      <c r="D254" s="26">
        <f t="shared" si="271"/>
        <v>0</v>
      </c>
      <c r="E254" s="26">
        <f t="shared" si="271"/>
        <v>0</v>
      </c>
      <c r="F254" s="26">
        <f t="shared" si="271"/>
        <v>0</v>
      </c>
      <c r="G254" s="26">
        <f t="shared" si="271"/>
        <v>0</v>
      </c>
      <c r="H254" s="26">
        <f t="shared" si="271"/>
        <v>0</v>
      </c>
      <c r="I254" s="26">
        <f t="shared" si="271"/>
        <v>0</v>
      </c>
      <c r="J254" s="26">
        <f t="shared" si="271"/>
        <v>0</v>
      </c>
      <c r="K254" s="26">
        <f t="shared" si="271"/>
        <v>0</v>
      </c>
      <c r="M254" s="26">
        <f t="shared" si="267"/>
        <v>377.75799999999998</v>
      </c>
      <c r="N254" s="26">
        <f t="shared" si="265"/>
        <v>0</v>
      </c>
      <c r="O254" s="26">
        <f t="shared" si="265"/>
        <v>0</v>
      </c>
      <c r="P254" s="26">
        <f t="shared" si="265"/>
        <v>0</v>
      </c>
      <c r="Q254" s="26">
        <f t="shared" si="265"/>
        <v>0</v>
      </c>
      <c r="R254" s="26">
        <f t="shared" si="265"/>
        <v>0</v>
      </c>
      <c r="S254" s="26">
        <f t="shared" si="265"/>
        <v>0</v>
      </c>
      <c r="T254" s="26">
        <f t="shared" si="265"/>
        <v>0</v>
      </c>
      <c r="U254" s="26">
        <f t="shared" si="265"/>
        <v>0</v>
      </c>
      <c r="V254" s="26">
        <f t="shared" si="265"/>
        <v>0</v>
      </c>
    </row>
    <row r="258" spans="1:24" x14ac:dyDescent="0.25">
      <c r="A258" t="s">
        <v>484</v>
      </c>
      <c r="B258" s="26">
        <f>SUM(B259:B262)</f>
        <v>5698515000</v>
      </c>
      <c r="C258" s="26">
        <f t="shared" ref="C258:K258" si="272">SUM(C259:C262)</f>
        <v>6126493000</v>
      </c>
      <c r="D258" s="26">
        <f t="shared" si="272"/>
        <v>5911677000</v>
      </c>
      <c r="E258" s="26">
        <f t="shared" si="272"/>
        <v>6846458000</v>
      </c>
      <c r="F258" s="26">
        <f t="shared" si="272"/>
        <v>6816455000</v>
      </c>
      <c r="G258" s="26">
        <f t="shared" si="272"/>
        <v>7487941000</v>
      </c>
      <c r="H258" s="26">
        <f t="shared" si="272"/>
        <v>9616298000</v>
      </c>
      <c r="I258" s="26">
        <f t="shared" si="272"/>
        <v>10016393000</v>
      </c>
      <c r="J258" s="26">
        <f t="shared" si="272"/>
        <v>8760566000</v>
      </c>
      <c r="K258" s="26">
        <f t="shared" si="272"/>
        <v>11681141000</v>
      </c>
      <c r="M258" s="26">
        <f>B258/1000000</f>
        <v>5698.5150000000003</v>
      </c>
      <c r="N258" s="26">
        <f t="shared" ref="N258:N262" si="273">C258/1000000</f>
        <v>6126.4930000000004</v>
      </c>
      <c r="O258" s="26">
        <f t="shared" ref="O258:O262" si="274">D258/1000000</f>
        <v>5911.6769999999997</v>
      </c>
      <c r="P258" s="26">
        <f t="shared" ref="P258:P262" si="275">E258/1000000</f>
        <v>6846.4579999999996</v>
      </c>
      <c r="Q258" s="26">
        <f t="shared" ref="Q258:Q262" si="276">F258/1000000</f>
        <v>6816.4549999999999</v>
      </c>
      <c r="R258" s="26">
        <f t="shared" ref="R258:R262" si="277">G258/1000000</f>
        <v>7487.9409999999998</v>
      </c>
      <c r="S258" s="26">
        <f t="shared" ref="S258:S262" si="278">H258/1000000</f>
        <v>9616.2980000000007</v>
      </c>
      <c r="T258" s="26">
        <f t="shared" ref="T258:T262" si="279">I258/1000000</f>
        <v>10016.393</v>
      </c>
      <c r="U258" s="26">
        <f t="shared" ref="U258:U262" si="280">J258/1000000</f>
        <v>8760.5660000000007</v>
      </c>
      <c r="V258" s="26">
        <f t="shared" ref="V258:V262" si="281">K258/1000000</f>
        <v>11681.141</v>
      </c>
    </row>
    <row r="259" spans="1:24" x14ac:dyDescent="0.25">
      <c r="A259" t="s">
        <v>520</v>
      </c>
      <c r="B259" s="26">
        <f>B205</f>
        <v>2325983000</v>
      </c>
      <c r="C259" s="26">
        <f t="shared" ref="C259:K259" si="282">C205</f>
        <v>2364194000</v>
      </c>
      <c r="D259" s="26">
        <f t="shared" si="282"/>
        <v>1911517000</v>
      </c>
      <c r="E259" s="26">
        <f t="shared" si="282"/>
        <v>1350617000</v>
      </c>
      <c r="F259" s="26">
        <f t="shared" si="282"/>
        <v>1400256000</v>
      </c>
      <c r="G259" s="26">
        <f t="shared" si="282"/>
        <v>1831326000</v>
      </c>
      <c r="H259" s="26">
        <f t="shared" si="282"/>
        <v>2369450000</v>
      </c>
      <c r="I259" s="26">
        <f t="shared" si="282"/>
        <v>2680916000</v>
      </c>
      <c r="J259" s="26">
        <f t="shared" si="282"/>
        <v>1935064000</v>
      </c>
      <c r="K259" s="26">
        <f t="shared" si="282"/>
        <v>2962872000</v>
      </c>
      <c r="M259" s="26">
        <f>B259/1000000</f>
        <v>2325.9830000000002</v>
      </c>
      <c r="N259" s="26">
        <f t="shared" si="273"/>
        <v>2364.194</v>
      </c>
      <c r="O259" s="26">
        <f t="shared" si="274"/>
        <v>1911.5170000000001</v>
      </c>
      <c r="P259" s="26">
        <f t="shared" si="275"/>
        <v>1350.617</v>
      </c>
      <c r="Q259" s="26">
        <f t="shared" si="276"/>
        <v>1400.2560000000001</v>
      </c>
      <c r="R259" s="26">
        <f t="shared" si="277"/>
        <v>1831.326</v>
      </c>
      <c r="S259" s="26">
        <f t="shared" si="278"/>
        <v>2369.4499999999998</v>
      </c>
      <c r="T259" s="26">
        <f t="shared" si="279"/>
        <v>2680.9160000000002</v>
      </c>
      <c r="U259" s="26">
        <f t="shared" si="280"/>
        <v>1935.0640000000001</v>
      </c>
      <c r="V259" s="26">
        <f t="shared" si="281"/>
        <v>2962.8719999999998</v>
      </c>
      <c r="X259" s="48">
        <f>V259/V$258</f>
        <v>0.25364576970691477</v>
      </c>
    </row>
    <row r="260" spans="1:24" x14ac:dyDescent="0.25">
      <c r="A260" t="s">
        <v>521</v>
      </c>
      <c r="B260" s="26">
        <f>B214</f>
        <v>1363833000</v>
      </c>
      <c r="C260" s="26">
        <f t="shared" ref="C260:K260" si="283">C214</f>
        <v>1466058000</v>
      </c>
      <c r="D260" s="26">
        <f t="shared" si="283"/>
        <v>1695063000</v>
      </c>
      <c r="E260" s="26">
        <f t="shared" si="283"/>
        <v>2346261000</v>
      </c>
      <c r="F260" s="26">
        <f t="shared" si="283"/>
        <v>2144370000</v>
      </c>
      <c r="G260" s="26">
        <f t="shared" si="283"/>
        <v>2127084000</v>
      </c>
      <c r="H260" s="26">
        <f t="shared" si="283"/>
        <v>2812051000</v>
      </c>
      <c r="I260" s="26">
        <f t="shared" si="283"/>
        <v>3042806000</v>
      </c>
      <c r="J260" s="26">
        <f t="shared" si="283"/>
        <v>2602019000</v>
      </c>
      <c r="K260" s="26">
        <f t="shared" si="283"/>
        <v>3303855000</v>
      </c>
      <c r="M260" s="26">
        <f t="shared" ref="M260:M262" si="284">B260/1000000</f>
        <v>1363.8330000000001</v>
      </c>
      <c r="N260" s="26">
        <f t="shared" si="273"/>
        <v>1466.058</v>
      </c>
      <c r="O260" s="26">
        <f t="shared" si="274"/>
        <v>1695.0630000000001</v>
      </c>
      <c r="P260" s="26">
        <f t="shared" si="275"/>
        <v>2346.261</v>
      </c>
      <c r="Q260" s="26">
        <f t="shared" si="276"/>
        <v>2144.37</v>
      </c>
      <c r="R260" s="26">
        <f t="shared" si="277"/>
        <v>2127.0839999999998</v>
      </c>
      <c r="S260" s="26">
        <f t="shared" si="278"/>
        <v>2812.0509999999999</v>
      </c>
      <c r="T260" s="26">
        <f t="shared" si="279"/>
        <v>3042.806</v>
      </c>
      <c r="U260" s="26">
        <f t="shared" si="280"/>
        <v>2602.0189999999998</v>
      </c>
      <c r="V260" s="26">
        <f t="shared" si="281"/>
        <v>3303.855</v>
      </c>
      <c r="X260" s="48">
        <f t="shared" ref="X260:X262" si="285">V260/V$258</f>
        <v>0.28283666809603619</v>
      </c>
    </row>
    <row r="261" spans="1:24" x14ac:dyDescent="0.25">
      <c r="A261" t="s">
        <v>522</v>
      </c>
      <c r="B261" s="26">
        <f>B223</f>
        <v>1594849000</v>
      </c>
      <c r="C261" s="26">
        <f t="shared" ref="C261:K261" si="286">C223</f>
        <v>1892526000</v>
      </c>
      <c r="D261" s="26">
        <f t="shared" si="286"/>
        <v>1944135000</v>
      </c>
      <c r="E261" s="26">
        <f t="shared" si="286"/>
        <v>2587779000</v>
      </c>
      <c r="F261" s="26">
        <f t="shared" si="286"/>
        <v>2717409000</v>
      </c>
      <c r="G261" s="26">
        <f t="shared" si="286"/>
        <v>2872248000</v>
      </c>
      <c r="H261" s="26">
        <f t="shared" si="286"/>
        <v>3512939000</v>
      </c>
      <c r="I261" s="26">
        <f t="shared" si="286"/>
        <v>3385710000</v>
      </c>
      <c r="J261" s="26">
        <f t="shared" si="286"/>
        <v>3441443000</v>
      </c>
      <c r="K261" s="26">
        <f t="shared" si="286"/>
        <v>4207104000</v>
      </c>
      <c r="M261" s="26">
        <f t="shared" si="284"/>
        <v>1594.8489999999999</v>
      </c>
      <c r="N261" s="26">
        <f t="shared" si="273"/>
        <v>1892.5260000000001</v>
      </c>
      <c r="O261" s="26">
        <f t="shared" si="274"/>
        <v>1944.135</v>
      </c>
      <c r="P261" s="26">
        <f t="shared" si="275"/>
        <v>2587.779</v>
      </c>
      <c r="Q261" s="26">
        <f t="shared" si="276"/>
        <v>2717.4090000000001</v>
      </c>
      <c r="R261" s="26">
        <f t="shared" si="277"/>
        <v>2872.248</v>
      </c>
      <c r="S261" s="26">
        <f t="shared" si="278"/>
        <v>3512.9389999999999</v>
      </c>
      <c r="T261" s="26">
        <f t="shared" si="279"/>
        <v>3385.71</v>
      </c>
      <c r="U261" s="26">
        <f t="shared" si="280"/>
        <v>3441.4430000000002</v>
      </c>
      <c r="V261" s="26">
        <f t="shared" si="281"/>
        <v>4207.1040000000003</v>
      </c>
      <c r="X261" s="48">
        <f t="shared" si="285"/>
        <v>0.36016207663275362</v>
      </c>
    </row>
    <row r="262" spans="1:24" x14ac:dyDescent="0.25">
      <c r="A262" t="s">
        <v>523</v>
      </c>
      <c r="B262" s="26">
        <f>B232</f>
        <v>413850000</v>
      </c>
      <c r="C262" s="26">
        <f t="shared" ref="C262:K262" si="287">C232</f>
        <v>403715000</v>
      </c>
      <c r="D262" s="26">
        <f t="shared" si="287"/>
        <v>360962000</v>
      </c>
      <c r="E262" s="26">
        <f t="shared" si="287"/>
        <v>561801000</v>
      </c>
      <c r="F262" s="26">
        <f t="shared" si="287"/>
        <v>554420000</v>
      </c>
      <c r="G262" s="26">
        <f t="shared" si="287"/>
        <v>657283000</v>
      </c>
      <c r="H262" s="26">
        <f t="shared" si="287"/>
        <v>921858000</v>
      </c>
      <c r="I262" s="26">
        <f t="shared" si="287"/>
        <v>906961000</v>
      </c>
      <c r="J262" s="26">
        <f t="shared" si="287"/>
        <v>782040000</v>
      </c>
      <c r="K262" s="26">
        <f t="shared" si="287"/>
        <v>1207310000</v>
      </c>
      <c r="M262" s="26">
        <f t="shared" si="284"/>
        <v>413.85</v>
      </c>
      <c r="N262" s="26">
        <f t="shared" si="273"/>
        <v>403.71499999999997</v>
      </c>
      <c r="O262" s="26">
        <f t="shared" si="274"/>
        <v>360.96199999999999</v>
      </c>
      <c r="P262" s="26">
        <f t="shared" si="275"/>
        <v>561.80100000000004</v>
      </c>
      <c r="Q262" s="26">
        <f t="shared" si="276"/>
        <v>554.41999999999996</v>
      </c>
      <c r="R262" s="26">
        <f t="shared" si="277"/>
        <v>657.28300000000002</v>
      </c>
      <c r="S262" s="26">
        <f t="shared" si="278"/>
        <v>921.85799999999995</v>
      </c>
      <c r="T262" s="26">
        <f t="shared" si="279"/>
        <v>906.96100000000001</v>
      </c>
      <c r="U262" s="26">
        <f t="shared" si="280"/>
        <v>782.04</v>
      </c>
      <c r="V262" s="26">
        <f t="shared" si="281"/>
        <v>1207.31</v>
      </c>
      <c r="X262" s="48">
        <f t="shared" si="285"/>
        <v>0.10335548556429547</v>
      </c>
    </row>
    <row r="263" spans="1:24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4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87" spans="2:22" x14ac:dyDescent="0.25">
      <c r="B287" s="21" t="s">
        <v>467</v>
      </c>
      <c r="C287" s="21" t="s">
        <v>361</v>
      </c>
      <c r="D287" s="21" t="s">
        <v>462</v>
      </c>
      <c r="E287" s="21">
        <v>2015</v>
      </c>
      <c r="F287" s="21" t="s">
        <v>362</v>
      </c>
      <c r="G287" s="21" t="s">
        <v>363</v>
      </c>
      <c r="H287" s="21" t="s">
        <v>364</v>
      </c>
      <c r="I287" s="21" t="s">
        <v>365</v>
      </c>
      <c r="J287" s="21" t="s">
        <v>366</v>
      </c>
      <c r="K287" s="21" t="s">
        <v>463</v>
      </c>
      <c r="M287" s="21" t="s">
        <v>467</v>
      </c>
      <c r="N287" s="21" t="s">
        <v>361</v>
      </c>
      <c r="O287" s="21" t="s">
        <v>462</v>
      </c>
      <c r="P287" s="21">
        <v>2015</v>
      </c>
      <c r="Q287" s="21" t="s">
        <v>362</v>
      </c>
      <c r="R287" s="21" t="s">
        <v>363</v>
      </c>
      <c r="S287" s="21" t="s">
        <v>364</v>
      </c>
      <c r="T287" s="21" t="s">
        <v>365</v>
      </c>
      <c r="U287" s="21" t="s">
        <v>366</v>
      </c>
      <c r="V287" s="21" t="s">
        <v>463</v>
      </c>
    </row>
    <row r="289" spans="1:22" x14ac:dyDescent="0.25">
      <c r="A289" t="s">
        <v>524</v>
      </c>
      <c r="B289" s="26">
        <f>Iochpe_Anual!B222</f>
        <v>-165758000</v>
      </c>
      <c r="C289" s="26">
        <f>Iochpe_Anual!C222</f>
        <v>496458000</v>
      </c>
      <c r="D289" s="26">
        <f>Iochpe_Anual!D222</f>
        <v>462824000</v>
      </c>
      <c r="E289" s="26">
        <f>Iochpe_Anual!E222</f>
        <v>149954000</v>
      </c>
      <c r="F289" s="26">
        <f>Iochpe_Anual!F222</f>
        <v>253963000</v>
      </c>
      <c r="G289" s="26">
        <f>Iochpe_Anual!G222</f>
        <v>303396000</v>
      </c>
      <c r="H289" s="26">
        <f>Iochpe_Anual!H222</f>
        <v>614720000</v>
      </c>
      <c r="I289" s="26">
        <f>Iochpe_Anual!I222</f>
        <v>657683000</v>
      </c>
      <c r="J289" s="26">
        <f>Iochpe_Anual!J222</f>
        <v>113169000</v>
      </c>
      <c r="K289" s="26">
        <f>Iochpe_2_Tri!K222</f>
        <v>422167000</v>
      </c>
      <c r="M289" s="44">
        <f>B289/1000</f>
        <v>-165758</v>
      </c>
      <c r="N289" s="44">
        <f t="shared" ref="N289:V289" si="288">C289/1000</f>
        <v>496458</v>
      </c>
      <c r="O289" s="44">
        <f t="shared" si="288"/>
        <v>462824</v>
      </c>
      <c r="P289" s="44">
        <f t="shared" si="288"/>
        <v>149954</v>
      </c>
      <c r="Q289" s="44">
        <f t="shared" si="288"/>
        <v>253963</v>
      </c>
      <c r="R289" s="44">
        <f t="shared" si="288"/>
        <v>303396</v>
      </c>
      <c r="S289" s="44">
        <f t="shared" si="288"/>
        <v>614720</v>
      </c>
      <c r="T289" s="44">
        <f t="shared" si="288"/>
        <v>657683</v>
      </c>
      <c r="U289" s="44">
        <f t="shared" si="288"/>
        <v>113169</v>
      </c>
      <c r="V289" s="44">
        <f t="shared" si="288"/>
        <v>422167</v>
      </c>
    </row>
    <row r="290" spans="1:22" x14ac:dyDescent="0.25">
      <c r="A290" t="s">
        <v>525</v>
      </c>
      <c r="B290" s="26">
        <f>Iochpe_Anual!B224</f>
        <v>105706000</v>
      </c>
      <c r="C290" s="26">
        <f>Iochpe_Anual!C224</f>
        <v>211300000</v>
      </c>
      <c r="D290" s="26">
        <f>Iochpe_Anual!D224</f>
        <v>118032000</v>
      </c>
      <c r="E290" s="26">
        <f>Iochpe_Anual!E224</f>
        <v>119849000</v>
      </c>
      <c r="F290" s="26">
        <f>Iochpe_Anual!F224</f>
        <v>89130000</v>
      </c>
      <c r="G290" s="26">
        <f>Iochpe_Anual!G224</f>
        <v>80209000</v>
      </c>
      <c r="H290" s="26">
        <f>Iochpe_Anual!H224</f>
        <v>306142000</v>
      </c>
      <c r="I290" s="26">
        <f>Iochpe_Anual!I224</f>
        <v>421415000</v>
      </c>
      <c r="J290" s="26">
        <f>Iochpe_Anual!J224</f>
        <v>-419914000</v>
      </c>
      <c r="K290" s="26">
        <f>Iochpe_2_Tri!K224</f>
        <v>214470000</v>
      </c>
      <c r="M290" s="42">
        <f t="shared" ref="M290:M306" si="289">B290/1000</f>
        <v>105706</v>
      </c>
      <c r="N290" s="42">
        <f t="shared" ref="N290:N306" si="290">C290/1000</f>
        <v>211300</v>
      </c>
      <c r="O290" s="42">
        <f t="shared" ref="O290:O306" si="291">D290/1000</f>
        <v>118032</v>
      </c>
      <c r="P290" s="42">
        <f t="shared" ref="P290:P306" si="292">E290/1000</f>
        <v>119849</v>
      </c>
      <c r="Q290" s="42">
        <f t="shared" ref="Q290:Q306" si="293">F290/1000</f>
        <v>89130</v>
      </c>
      <c r="R290" s="42">
        <f t="shared" ref="R290:R306" si="294">G290/1000</f>
        <v>80209</v>
      </c>
      <c r="S290" s="42">
        <f t="shared" ref="S290:S306" si="295">H290/1000</f>
        <v>306142</v>
      </c>
      <c r="T290" s="42">
        <f t="shared" ref="T290:T306" si="296">I290/1000</f>
        <v>421415</v>
      </c>
      <c r="U290" s="42">
        <f t="shared" ref="U290:U306" si="297">J290/1000</f>
        <v>-419914</v>
      </c>
      <c r="V290" s="42">
        <f t="shared" ref="V290:V306" si="298">K290/1000</f>
        <v>214470</v>
      </c>
    </row>
    <row r="291" spans="1:22" x14ac:dyDescent="0.25">
      <c r="A291" t="s">
        <v>528</v>
      </c>
      <c r="B291" s="26">
        <f>Iochpe_Anual!B225</f>
        <v>181061000</v>
      </c>
      <c r="C291" s="26">
        <f>Iochpe_Anual!C225</f>
        <v>212339000</v>
      </c>
      <c r="D291" s="26">
        <f>Iochpe_Anual!D225</f>
        <v>240352000</v>
      </c>
      <c r="E291" s="26">
        <f>Iochpe_Anual!E225</f>
        <v>301464000</v>
      </c>
      <c r="F291" s="26">
        <f>Iochpe_Anual!F225</f>
        <v>316903000</v>
      </c>
      <c r="G291" s="26">
        <f>Iochpe_Anual!G225</f>
        <v>301997000</v>
      </c>
      <c r="H291" s="26">
        <f>Iochpe_Anual!H225</f>
        <v>355575000</v>
      </c>
      <c r="I291" s="26">
        <f>Iochpe_Anual!I225</f>
        <v>419554000</v>
      </c>
      <c r="J291" s="26">
        <f>Iochpe_Anual!J225</f>
        <v>556861000</v>
      </c>
      <c r="K291" s="26">
        <f>Iochpe_2_Tri!K225</f>
        <v>588168000</v>
      </c>
      <c r="M291" s="42">
        <f t="shared" si="289"/>
        <v>181061</v>
      </c>
      <c r="N291" s="42">
        <f t="shared" si="290"/>
        <v>212339</v>
      </c>
      <c r="O291" s="42">
        <f t="shared" si="291"/>
        <v>240352</v>
      </c>
      <c r="P291" s="42">
        <f t="shared" si="292"/>
        <v>301464</v>
      </c>
      <c r="Q291" s="42">
        <f t="shared" si="293"/>
        <v>316903</v>
      </c>
      <c r="R291" s="42">
        <f t="shared" si="294"/>
        <v>301997</v>
      </c>
      <c r="S291" s="42">
        <f t="shared" si="295"/>
        <v>355575</v>
      </c>
      <c r="T291" s="42">
        <f t="shared" si="296"/>
        <v>419554</v>
      </c>
      <c r="U291" s="42">
        <f t="shared" si="297"/>
        <v>556861</v>
      </c>
      <c r="V291" s="42">
        <f t="shared" si="298"/>
        <v>588168</v>
      </c>
    </row>
    <row r="292" spans="1:22" x14ac:dyDescent="0.25">
      <c r="A292" t="s">
        <v>529</v>
      </c>
      <c r="B292" s="26">
        <f>Iochpe_Anual!B232</f>
        <v>-292637000</v>
      </c>
      <c r="C292" s="26">
        <f>Iochpe_Anual!C232</f>
        <v>16089000</v>
      </c>
      <c r="D292" s="26">
        <f>Iochpe_Anual!D232</f>
        <v>24660000</v>
      </c>
      <c r="E292" s="26">
        <f>Iochpe_Anual!E232</f>
        <v>42297000</v>
      </c>
      <c r="F292" s="26">
        <f>Iochpe_Anual!F232</f>
        <v>19594000</v>
      </c>
      <c r="G292" s="26">
        <f>Iochpe_Anual!G232</f>
        <v>155796000</v>
      </c>
      <c r="H292" s="26">
        <f>Iochpe_Anual!H232</f>
        <v>56335000</v>
      </c>
      <c r="I292" s="26">
        <f>Iochpe_Anual!I232</f>
        <v>14599000</v>
      </c>
      <c r="J292" s="26">
        <f>Iochpe_Anual!J232</f>
        <v>69669000</v>
      </c>
      <c r="K292" s="26">
        <f>Iochpe_2_Tri!K232</f>
        <v>-228688000</v>
      </c>
      <c r="M292" s="42">
        <f t="shared" si="289"/>
        <v>-292637</v>
      </c>
      <c r="N292" s="42">
        <f t="shared" si="290"/>
        <v>16089</v>
      </c>
      <c r="O292" s="42">
        <f t="shared" si="291"/>
        <v>24660</v>
      </c>
      <c r="P292" s="42">
        <f t="shared" si="292"/>
        <v>42297</v>
      </c>
      <c r="Q292" s="42">
        <f t="shared" si="293"/>
        <v>19594</v>
      </c>
      <c r="R292" s="42">
        <f t="shared" si="294"/>
        <v>155796</v>
      </c>
      <c r="S292" s="42">
        <f t="shared" si="295"/>
        <v>56335</v>
      </c>
      <c r="T292" s="42">
        <f t="shared" si="296"/>
        <v>14599</v>
      </c>
      <c r="U292" s="42">
        <f t="shared" si="297"/>
        <v>69669</v>
      </c>
      <c r="V292" s="42">
        <f t="shared" si="298"/>
        <v>-228688</v>
      </c>
    </row>
    <row r="293" spans="1:22" x14ac:dyDescent="0.25">
      <c r="A293" t="s">
        <v>526</v>
      </c>
      <c r="B293" s="26">
        <f>Iochpe_Anual!B233</f>
        <v>-297907000</v>
      </c>
      <c r="C293" s="26">
        <f>Iochpe_Anual!C233</f>
        <v>-117686000</v>
      </c>
      <c r="D293" s="26">
        <f>Iochpe_Anual!D233</f>
        <v>-261567000</v>
      </c>
      <c r="E293" s="26">
        <f>Iochpe_Anual!E233</f>
        <v>-599885000</v>
      </c>
      <c r="F293" s="26">
        <f>Iochpe_Anual!F233</f>
        <v>-517187000</v>
      </c>
      <c r="G293" s="26">
        <f>Iochpe_Anual!G233</f>
        <v>-528182000</v>
      </c>
      <c r="H293" s="26">
        <f>Iochpe_Anual!H233</f>
        <v>-522642000</v>
      </c>
      <c r="I293" s="26">
        <f>Iochpe_Anual!I233</f>
        <v>-521197000</v>
      </c>
      <c r="J293" s="26">
        <f>Iochpe_Anual!J233</f>
        <v>-392494000</v>
      </c>
      <c r="K293" s="26">
        <f>Iochpe_2_Tri!K233</f>
        <v>-771874000</v>
      </c>
      <c r="M293" s="42">
        <f t="shared" si="289"/>
        <v>-297907</v>
      </c>
      <c r="N293" s="42">
        <f t="shared" si="290"/>
        <v>-117686</v>
      </c>
      <c r="O293" s="42">
        <f t="shared" si="291"/>
        <v>-261567</v>
      </c>
      <c r="P293" s="42">
        <f t="shared" si="292"/>
        <v>-599885</v>
      </c>
      <c r="Q293" s="42">
        <f t="shared" si="293"/>
        <v>-517187</v>
      </c>
      <c r="R293" s="42">
        <f t="shared" si="294"/>
        <v>-528182</v>
      </c>
      <c r="S293" s="42">
        <f t="shared" si="295"/>
        <v>-522642</v>
      </c>
      <c r="T293" s="42">
        <f t="shared" si="296"/>
        <v>-521197</v>
      </c>
      <c r="U293" s="42">
        <f t="shared" si="297"/>
        <v>-392494</v>
      </c>
      <c r="V293" s="42">
        <f t="shared" si="298"/>
        <v>-771874</v>
      </c>
    </row>
    <row r="294" spans="1:22" x14ac:dyDescent="0.25">
      <c r="A294" t="s">
        <v>527</v>
      </c>
      <c r="B294" s="26">
        <f>Iochpe_Anual!B226+Iochpe_Anual!B227+Iochpe_Anual!B228+Iochpe_Anual!B229+Iochpe_Anual!B230+Iochpe_Anual!B231</f>
        <v>138019000</v>
      </c>
      <c r="C294" s="26">
        <f>Iochpe_Anual!C226+Iochpe_Anual!C227+Iochpe_Anual!C228+Iochpe_Anual!C229+Iochpe_Anual!C230+Iochpe_Anual!C231</f>
        <v>174416000</v>
      </c>
      <c r="D294" s="26">
        <f>Iochpe_Anual!D226+Iochpe_Anual!D227+Iochpe_Anual!D228+Iochpe_Anual!D229+Iochpe_Anual!D230+Iochpe_Anual!D231</f>
        <v>341347000</v>
      </c>
      <c r="E294" s="26">
        <f>Iochpe_Anual!E226+Iochpe_Anual!E227+Iochpe_Anual!E228+Iochpe_Anual!E229+Iochpe_Anual!E230+Iochpe_Anual!E231</f>
        <v>286229000</v>
      </c>
      <c r="F294" s="26">
        <f>Iochpe_Anual!F226+Iochpe_Anual!F227+Iochpe_Anual!F228+Iochpe_Anual!F229+Iochpe_Anual!F230+Iochpe_Anual!F231</f>
        <v>345523000</v>
      </c>
      <c r="G294" s="26">
        <f>Iochpe_Anual!G226+Iochpe_Anual!G227+Iochpe_Anual!G228+Iochpe_Anual!G229+Iochpe_Anual!G230+Iochpe_Anual!G231</f>
        <v>293576000</v>
      </c>
      <c r="H294" s="26">
        <f>Iochpe_Anual!H226+Iochpe_Anual!H227+Iochpe_Anual!H228+Iochpe_Anual!H229+Iochpe_Anual!H230+Iochpe_Anual!H231</f>
        <v>419310000</v>
      </c>
      <c r="I294" s="26">
        <f>Iochpe_Anual!I226+Iochpe_Anual!I227+Iochpe_Anual!I228+Iochpe_Anual!I229+Iochpe_Anual!I230+Iochpe_Anual!I231</f>
        <v>323312000</v>
      </c>
      <c r="J294" s="26">
        <f>Iochpe_Anual!J226+Iochpe_Anual!J227+Iochpe_Anual!J228+Iochpe_Anual!J229+Iochpe_Anual!J230+Iochpe_Anual!J231</f>
        <v>299047000</v>
      </c>
      <c r="K294" s="26">
        <f>Iochpe_2_Tri!K226+Iochpe_2_Tri!K227+Iochpe_2_Tri!K228+Iochpe_2_Tri!K229+Iochpe_2_Tri!K230+Iochpe_2_Tri!K231</f>
        <v>620091000</v>
      </c>
      <c r="M294" s="42">
        <f t="shared" si="289"/>
        <v>138019</v>
      </c>
      <c r="N294" s="42">
        <f t="shared" si="290"/>
        <v>174416</v>
      </c>
      <c r="O294" s="42">
        <f t="shared" si="291"/>
        <v>341347</v>
      </c>
      <c r="P294" s="42">
        <f t="shared" si="292"/>
        <v>286229</v>
      </c>
      <c r="Q294" s="42">
        <f t="shared" si="293"/>
        <v>345523</v>
      </c>
      <c r="R294" s="42">
        <f t="shared" si="294"/>
        <v>293576</v>
      </c>
      <c r="S294" s="42">
        <f t="shared" si="295"/>
        <v>419310</v>
      </c>
      <c r="T294" s="42">
        <f t="shared" si="296"/>
        <v>323312</v>
      </c>
      <c r="U294" s="42">
        <f t="shared" si="297"/>
        <v>299047</v>
      </c>
      <c r="V294" s="42">
        <f t="shared" si="298"/>
        <v>620091</v>
      </c>
    </row>
    <row r="295" spans="1:22" x14ac:dyDescent="0.25">
      <c r="A295" t="s">
        <v>537</v>
      </c>
      <c r="B295" s="49"/>
      <c r="C295" s="49">
        <v>-249201000</v>
      </c>
      <c r="D295" s="49">
        <v>-286963000</v>
      </c>
      <c r="E295" s="49">
        <v>-321520000</v>
      </c>
      <c r="F295" s="49">
        <v>-274540000</v>
      </c>
      <c r="G295" s="49">
        <v>-237461000</v>
      </c>
      <c r="H295" s="49">
        <v>-470745000</v>
      </c>
      <c r="I295" s="49">
        <v>-524468000</v>
      </c>
      <c r="J295" s="49">
        <v>-335794000</v>
      </c>
      <c r="K295" s="49">
        <f>-129967000+J295-(-174672000)</f>
        <v>-291089000</v>
      </c>
      <c r="M295" s="42">
        <f t="shared" si="289"/>
        <v>0</v>
      </c>
      <c r="N295" s="42">
        <f t="shared" si="290"/>
        <v>-249201</v>
      </c>
      <c r="O295" s="42">
        <f t="shared" si="291"/>
        <v>-286963</v>
      </c>
      <c r="P295" s="42">
        <f t="shared" si="292"/>
        <v>-321520</v>
      </c>
      <c r="Q295" s="42">
        <f t="shared" si="293"/>
        <v>-274540</v>
      </c>
      <c r="R295" s="42">
        <f t="shared" si="294"/>
        <v>-237461</v>
      </c>
      <c r="S295" s="42">
        <f t="shared" si="295"/>
        <v>-470745</v>
      </c>
      <c r="T295" s="42">
        <f t="shared" si="296"/>
        <v>-524468</v>
      </c>
      <c r="U295" s="42">
        <f t="shared" si="297"/>
        <v>-335794</v>
      </c>
      <c r="V295" s="42">
        <f t="shared" si="298"/>
        <v>-291089</v>
      </c>
    </row>
    <row r="296" spans="1:22" x14ac:dyDescent="0.25">
      <c r="A296" t="s">
        <v>538</v>
      </c>
      <c r="B296" s="49"/>
      <c r="C296" s="49">
        <v>-1223000</v>
      </c>
      <c r="D296" s="49">
        <v>-1698000</v>
      </c>
      <c r="E296" s="49">
        <v>-3682000</v>
      </c>
      <c r="F296" s="49">
        <v>-3280000</v>
      </c>
      <c r="G296" s="49">
        <v>-12032000</v>
      </c>
      <c r="H296" s="49">
        <v>-27269000</v>
      </c>
      <c r="I296" s="49">
        <v>-24561000</v>
      </c>
      <c r="J296" s="49">
        <v>-18601000</v>
      </c>
      <c r="K296" s="49">
        <f>-8609000+J296-(-7007000)</f>
        <v>-20203000</v>
      </c>
      <c r="M296" s="42">
        <f t="shared" si="289"/>
        <v>0</v>
      </c>
      <c r="N296" s="42">
        <f t="shared" si="290"/>
        <v>-1223</v>
      </c>
      <c r="O296" s="42">
        <f t="shared" si="291"/>
        <v>-1698</v>
      </c>
      <c r="P296" s="42">
        <f t="shared" si="292"/>
        <v>-3682</v>
      </c>
      <c r="Q296" s="42">
        <f t="shared" si="293"/>
        <v>-3280</v>
      </c>
      <c r="R296" s="42">
        <f t="shared" si="294"/>
        <v>-12032</v>
      </c>
      <c r="S296" s="42">
        <f t="shared" si="295"/>
        <v>-27269</v>
      </c>
      <c r="T296" s="42">
        <f t="shared" si="296"/>
        <v>-24561</v>
      </c>
      <c r="U296" s="42">
        <f t="shared" si="297"/>
        <v>-18601</v>
      </c>
      <c r="V296" s="42">
        <f t="shared" si="298"/>
        <v>-20203</v>
      </c>
    </row>
    <row r="297" spans="1:22" x14ac:dyDescent="0.25">
      <c r="A297" t="s">
        <v>539</v>
      </c>
      <c r="B297" s="49"/>
      <c r="C297" s="49">
        <v>-247978000</v>
      </c>
      <c r="D297" s="49">
        <v>-300715000</v>
      </c>
      <c r="E297" s="49">
        <v>-317838000</v>
      </c>
      <c r="F297" s="49">
        <v>-290173000</v>
      </c>
      <c r="G297" s="49">
        <v>-225429000</v>
      </c>
      <c r="H297" s="49">
        <v>-443476000</v>
      </c>
      <c r="I297" s="49">
        <v>-459066000</v>
      </c>
      <c r="J297" s="49">
        <v>-317193000</v>
      </c>
      <c r="K297" s="49">
        <f>-121358000+J297-(-167665000)</f>
        <v>-270886000</v>
      </c>
      <c r="M297" s="42">
        <f t="shared" si="289"/>
        <v>0</v>
      </c>
      <c r="N297" s="42">
        <f t="shared" si="290"/>
        <v>-247978</v>
      </c>
      <c r="O297" s="42">
        <f t="shared" si="291"/>
        <v>-300715</v>
      </c>
      <c r="P297" s="42">
        <f t="shared" si="292"/>
        <v>-317838</v>
      </c>
      <c r="Q297" s="42">
        <f t="shared" si="293"/>
        <v>-290173</v>
      </c>
      <c r="R297" s="42">
        <f t="shared" si="294"/>
        <v>-225429</v>
      </c>
      <c r="S297" s="42">
        <f t="shared" si="295"/>
        <v>-443476</v>
      </c>
      <c r="T297" s="42">
        <f t="shared" si="296"/>
        <v>-459066</v>
      </c>
      <c r="U297" s="42">
        <f t="shared" si="297"/>
        <v>-317193</v>
      </c>
      <c r="V297" s="42">
        <f t="shared" si="298"/>
        <v>-270886</v>
      </c>
    </row>
    <row r="298" spans="1:22" x14ac:dyDescent="0.25">
      <c r="A298" t="s">
        <v>540</v>
      </c>
      <c r="B298" s="49"/>
      <c r="C298" s="49">
        <v>0</v>
      </c>
      <c r="D298" s="49">
        <v>15450000</v>
      </c>
      <c r="E298" s="49"/>
      <c r="F298" s="49">
        <v>18913000</v>
      </c>
      <c r="G298" s="49"/>
      <c r="H298" s="49">
        <v>0</v>
      </c>
      <c r="I298" s="49">
        <v>20093000</v>
      </c>
      <c r="J298" s="49"/>
      <c r="K298" s="49"/>
      <c r="M298" s="42">
        <f t="shared" si="289"/>
        <v>0</v>
      </c>
      <c r="N298" s="42">
        <f t="shared" si="290"/>
        <v>0</v>
      </c>
      <c r="O298" s="42">
        <f t="shared" si="291"/>
        <v>15450</v>
      </c>
      <c r="P298" s="42">
        <f t="shared" si="292"/>
        <v>0</v>
      </c>
      <c r="Q298" s="42">
        <f t="shared" si="293"/>
        <v>18913</v>
      </c>
      <c r="R298" s="42">
        <f t="shared" si="294"/>
        <v>0</v>
      </c>
      <c r="S298" s="42">
        <f t="shared" si="295"/>
        <v>0</v>
      </c>
      <c r="T298" s="42">
        <f t="shared" si="296"/>
        <v>20093</v>
      </c>
      <c r="U298" s="42">
        <f t="shared" si="297"/>
        <v>0</v>
      </c>
      <c r="V298" s="42">
        <f t="shared" si="298"/>
        <v>0</v>
      </c>
    </row>
    <row r="299" spans="1:22" x14ac:dyDescent="0.25">
      <c r="A299" t="s">
        <v>534</v>
      </c>
      <c r="B299" s="49"/>
      <c r="C299" s="49"/>
      <c r="D299" s="49"/>
      <c r="E299" s="49"/>
      <c r="F299" s="49">
        <v>0</v>
      </c>
      <c r="G299" s="49"/>
      <c r="H299" s="49"/>
      <c r="I299" s="49">
        <v>-60934000</v>
      </c>
      <c r="J299" s="49"/>
      <c r="K299" s="49"/>
      <c r="L299" s="50" t="s">
        <v>552</v>
      </c>
      <c r="M299" s="42">
        <f t="shared" ref="M299" si="299">B299/1000</f>
        <v>0</v>
      </c>
      <c r="N299" s="42">
        <f t="shared" ref="N299" si="300">C299/1000</f>
        <v>0</v>
      </c>
      <c r="O299" s="42">
        <f t="shared" ref="O299" si="301">D299/1000</f>
        <v>0</v>
      </c>
      <c r="P299" s="42">
        <f t="shared" ref="P299" si="302">E299/1000</f>
        <v>0</v>
      </c>
      <c r="Q299" s="42">
        <f t="shared" ref="Q299" si="303">F299/1000</f>
        <v>0</v>
      </c>
      <c r="R299" s="42">
        <f t="shared" ref="R299" si="304">G299/1000</f>
        <v>0</v>
      </c>
      <c r="S299" s="42">
        <f t="shared" ref="S299" si="305">H299/1000</f>
        <v>0</v>
      </c>
      <c r="T299" s="42">
        <f t="shared" ref="T299" si="306">I299/1000</f>
        <v>-60934</v>
      </c>
      <c r="U299" s="42">
        <f t="shared" ref="U299" si="307">J299/1000</f>
        <v>0</v>
      </c>
      <c r="V299" s="42">
        <f t="shared" ref="V299" si="308">K299/1000</f>
        <v>0</v>
      </c>
    </row>
    <row r="300" spans="1:22" x14ac:dyDescent="0.25">
      <c r="A300" t="s">
        <v>547</v>
      </c>
      <c r="B300" s="49"/>
      <c r="C300" s="49">
        <v>-143058000</v>
      </c>
      <c r="D300" s="49">
        <v>-146293000</v>
      </c>
      <c r="E300" s="49">
        <v>-3337000</v>
      </c>
      <c r="F300" s="49">
        <v>-133976000</v>
      </c>
      <c r="G300" s="49">
        <v>1940000</v>
      </c>
      <c r="H300" s="49">
        <v>-274132000</v>
      </c>
      <c r="I300" s="49">
        <v>-1590000</v>
      </c>
      <c r="J300" s="49">
        <v>969295000</v>
      </c>
      <c r="K300" s="49">
        <f>115557000+J300-L300</f>
        <v>-53301000</v>
      </c>
      <c r="L300" s="50">
        <v>1138153000</v>
      </c>
      <c r="M300" s="42">
        <f t="shared" si="289"/>
        <v>0</v>
      </c>
      <c r="N300" s="42">
        <f t="shared" si="290"/>
        <v>-143058</v>
      </c>
      <c r="O300" s="42">
        <f t="shared" si="291"/>
        <v>-146293</v>
      </c>
      <c r="P300" s="42">
        <f t="shared" si="292"/>
        <v>-3337</v>
      </c>
      <c r="Q300" s="42">
        <f t="shared" si="293"/>
        <v>-133976</v>
      </c>
      <c r="R300" s="42">
        <f t="shared" si="294"/>
        <v>1940</v>
      </c>
      <c r="S300" s="42">
        <f t="shared" si="295"/>
        <v>-274132</v>
      </c>
      <c r="T300" s="42">
        <f t="shared" si="296"/>
        <v>-1590</v>
      </c>
      <c r="U300" s="42">
        <f t="shared" si="297"/>
        <v>969295</v>
      </c>
      <c r="V300" s="42">
        <f t="shared" si="298"/>
        <v>-53301</v>
      </c>
    </row>
    <row r="301" spans="1:22" x14ac:dyDescent="0.25">
      <c r="A301" t="s">
        <v>548</v>
      </c>
      <c r="B301" s="49"/>
      <c r="C301" s="49">
        <f>-(25738000+31369000)</f>
        <v>-57107000</v>
      </c>
      <c r="D301" s="49">
        <f>-(79099000+57874000)</f>
        <v>-136973000</v>
      </c>
      <c r="E301" s="49">
        <f>-(28621000+57028000)</f>
        <v>-85649000</v>
      </c>
      <c r="F301" s="49">
        <f>-(20885000+77683000)</f>
        <v>-98568000</v>
      </c>
      <c r="G301" s="49">
        <f>-(70238000+10446000)</f>
        <v>-80684000</v>
      </c>
      <c r="H301" s="49">
        <f>-(93272000+36246000)</f>
        <v>-129518000</v>
      </c>
      <c r="I301" s="49">
        <f>-(108697000+95192000)</f>
        <v>-203889000</v>
      </c>
      <c r="J301" s="49">
        <f>-(126822000+19374000)</f>
        <v>-146196000</v>
      </c>
      <c r="K301" s="49">
        <f>-(103090000)+J301-L301</f>
        <v>-103090000</v>
      </c>
      <c r="L301" s="50">
        <f>-(126822000+19374000)</f>
        <v>-146196000</v>
      </c>
      <c r="M301" s="42">
        <f t="shared" si="289"/>
        <v>0</v>
      </c>
      <c r="N301" s="42">
        <f t="shared" si="290"/>
        <v>-57107</v>
      </c>
      <c r="O301" s="42">
        <f t="shared" si="291"/>
        <v>-136973</v>
      </c>
      <c r="P301" s="42">
        <f t="shared" si="292"/>
        <v>-85649</v>
      </c>
      <c r="Q301" s="42">
        <f t="shared" si="293"/>
        <v>-98568</v>
      </c>
      <c r="R301" s="42">
        <f t="shared" si="294"/>
        <v>-80684</v>
      </c>
      <c r="S301" s="42">
        <f t="shared" si="295"/>
        <v>-129518</v>
      </c>
      <c r="T301" s="42">
        <f t="shared" si="296"/>
        <v>-203889</v>
      </c>
      <c r="U301" s="42">
        <f t="shared" si="297"/>
        <v>-146196</v>
      </c>
      <c r="V301" s="42">
        <f t="shared" si="298"/>
        <v>-103090</v>
      </c>
    </row>
    <row r="302" spans="1:22" x14ac:dyDescent="0.25">
      <c r="A302" t="s">
        <v>549</v>
      </c>
      <c r="B302" s="49"/>
      <c r="C302" s="49">
        <f>1560000000+407770000</f>
        <v>1967770000</v>
      </c>
      <c r="D302" s="49">
        <f>250000000 + 331566000</f>
        <v>581566000</v>
      </c>
      <c r="E302" s="49">
        <f>1401548000</f>
        <v>1401548000</v>
      </c>
      <c r="F302" s="49">
        <f>2961936000</f>
        <v>2961936000</v>
      </c>
      <c r="G302" s="49">
        <f>1336434000</f>
        <v>1336434000</v>
      </c>
      <c r="H302" s="49">
        <f>450000000+1551080000</f>
        <v>2001080000</v>
      </c>
      <c r="I302" s="49">
        <f>800000000+1776517000</f>
        <v>2576517000</v>
      </c>
      <c r="J302" s="49">
        <f>2462923000</f>
        <v>2462923000</v>
      </c>
      <c r="K302" s="49">
        <f>3215690000+J302-L302</f>
        <v>3878663000</v>
      </c>
      <c r="L302" s="50">
        <f>1799950000</f>
        <v>1799950000</v>
      </c>
      <c r="M302" s="42">
        <f t="shared" si="289"/>
        <v>0</v>
      </c>
      <c r="N302" s="42">
        <f t="shared" si="290"/>
        <v>1967770</v>
      </c>
      <c r="O302" s="42">
        <f t="shared" si="291"/>
        <v>581566</v>
      </c>
      <c r="P302" s="42">
        <f t="shared" si="292"/>
        <v>1401548</v>
      </c>
      <c r="Q302" s="42">
        <f t="shared" si="293"/>
        <v>2961936</v>
      </c>
      <c r="R302" s="42">
        <f t="shared" si="294"/>
        <v>1336434</v>
      </c>
      <c r="S302" s="42">
        <f t="shared" si="295"/>
        <v>2001080</v>
      </c>
      <c r="T302" s="42">
        <f t="shared" si="296"/>
        <v>2576517</v>
      </c>
      <c r="U302" s="42">
        <f t="shared" si="297"/>
        <v>2462923</v>
      </c>
      <c r="V302" s="42">
        <f t="shared" si="298"/>
        <v>3878663</v>
      </c>
    </row>
    <row r="303" spans="1:22" x14ac:dyDescent="0.25">
      <c r="A303" t="s">
        <v>550</v>
      </c>
      <c r="B303" s="49"/>
      <c r="C303" s="49">
        <f>-(1730640000+323081000)</f>
        <v>-2053721000</v>
      </c>
      <c r="D303" s="49">
        <f>-290885000-300001000</f>
        <v>-590886000</v>
      </c>
      <c r="E303" s="49">
        <f>-(1283017000+36219000)</f>
        <v>-1319236000</v>
      </c>
      <c r="F303" s="49">
        <f>-(2338890000+656299000)</f>
        <v>-2995189000</v>
      </c>
      <c r="G303" s="49">
        <f>-(1555544000+213072000+26011000)</f>
        <v>-1794627000</v>
      </c>
      <c r="H303" s="49">
        <f>-(2111439000+1235000+19227000)</f>
        <v>-2131901000</v>
      </c>
      <c r="I303" s="49">
        <f>-(2234978000+152936000+28269000+22701000)</f>
        <v>-2438884000</v>
      </c>
      <c r="J303" s="49">
        <f>-(1269204000+34410000+48715000)</f>
        <v>-1352329000</v>
      </c>
      <c r="K303" s="49">
        <f>-(2898121000+82611000)+J303-L303</f>
        <v>-3829060000</v>
      </c>
      <c r="L303" s="50">
        <f>-(479504000+24497000)</f>
        <v>-504001000</v>
      </c>
      <c r="M303" s="42">
        <f t="shared" si="289"/>
        <v>0</v>
      </c>
      <c r="N303" s="42">
        <f t="shared" si="290"/>
        <v>-2053721</v>
      </c>
      <c r="O303" s="42">
        <f t="shared" si="291"/>
        <v>-590886</v>
      </c>
      <c r="P303" s="42">
        <f t="shared" si="292"/>
        <v>-1319236</v>
      </c>
      <c r="Q303" s="42">
        <f t="shared" si="293"/>
        <v>-2995189</v>
      </c>
      <c r="R303" s="42">
        <f t="shared" si="294"/>
        <v>-1794627</v>
      </c>
      <c r="S303" s="42">
        <f t="shared" si="295"/>
        <v>-2131901</v>
      </c>
      <c r="T303" s="42">
        <f t="shared" si="296"/>
        <v>-2438884</v>
      </c>
      <c r="U303" s="42">
        <f t="shared" si="297"/>
        <v>-1352329</v>
      </c>
      <c r="V303" s="42">
        <f t="shared" si="298"/>
        <v>-3829060</v>
      </c>
    </row>
    <row r="304" spans="1:22" x14ac:dyDescent="0.25">
      <c r="A304" t="s">
        <v>551</v>
      </c>
      <c r="B304" s="49"/>
      <c r="C304" s="49"/>
      <c r="D304" s="49"/>
      <c r="E304" s="49"/>
      <c r="F304" s="49">
        <v>-2155000</v>
      </c>
      <c r="G304" s="49">
        <f>577398000-4620000-31961000</f>
        <v>540817000</v>
      </c>
      <c r="H304" s="49">
        <f>-13142000-651000</f>
        <v>-13793000</v>
      </c>
      <c r="I304" s="49">
        <f>-2987000+27715000+39938000</f>
        <v>64666000</v>
      </c>
      <c r="J304" s="49">
        <v>4897000</v>
      </c>
      <c r="K304" s="49">
        <f>-16311000+J304-L304</f>
        <v>186000</v>
      </c>
      <c r="L304" s="50">
        <f>4897000-16497000</f>
        <v>-11600000</v>
      </c>
      <c r="M304" s="42">
        <f t="shared" si="289"/>
        <v>0</v>
      </c>
      <c r="N304" s="42">
        <f t="shared" si="290"/>
        <v>0</v>
      </c>
      <c r="O304" s="42">
        <f t="shared" si="291"/>
        <v>0</v>
      </c>
      <c r="P304" s="42">
        <f t="shared" si="292"/>
        <v>0</v>
      </c>
      <c r="Q304" s="42">
        <f t="shared" si="293"/>
        <v>-2155</v>
      </c>
      <c r="R304" s="42">
        <f t="shared" si="294"/>
        <v>540817</v>
      </c>
      <c r="S304" s="42">
        <f t="shared" si="295"/>
        <v>-13793</v>
      </c>
      <c r="T304" s="42">
        <f t="shared" si="296"/>
        <v>64666</v>
      </c>
      <c r="U304" s="42">
        <f t="shared" si="297"/>
        <v>4897</v>
      </c>
      <c r="V304" s="42">
        <f t="shared" si="298"/>
        <v>186</v>
      </c>
    </row>
    <row r="305" spans="1:25" x14ac:dyDescent="0.25">
      <c r="A305" t="s">
        <v>535</v>
      </c>
      <c r="B305" s="26">
        <f>Iochpe_Anual!B258</f>
        <v>1492000</v>
      </c>
      <c r="C305" s="26">
        <f>Iochpe_Anual!C258</f>
        <v>56670000</v>
      </c>
      <c r="D305" s="26">
        <f>Iochpe_Anual!D258</f>
        <v>25281000</v>
      </c>
      <c r="E305" s="26">
        <f>Iochpe_Anual!E258</f>
        <v>197079000</v>
      </c>
      <c r="F305" s="26">
        <f>Iochpe_Anual!F258</f>
        <v>-153103000</v>
      </c>
      <c r="G305" s="26">
        <f>Iochpe_Anual!G258</f>
        <v>43857000</v>
      </c>
      <c r="H305" s="26">
        <f>Iochpe_Anual!H258</f>
        <v>73729000</v>
      </c>
      <c r="I305" s="26">
        <f>Iochpe_Anual!I258</f>
        <v>27609000</v>
      </c>
      <c r="J305" s="26">
        <f>Iochpe_Anual!J258</f>
        <v>212632000</v>
      </c>
      <c r="K305" s="26">
        <f>Iochpe_2_Tri!K258</f>
        <v>-115093000</v>
      </c>
      <c r="M305" s="42">
        <f t="shared" si="289"/>
        <v>1492</v>
      </c>
      <c r="N305" s="42">
        <f t="shared" si="290"/>
        <v>56670</v>
      </c>
      <c r="O305" s="42">
        <f t="shared" si="291"/>
        <v>25281</v>
      </c>
      <c r="P305" s="42">
        <f t="shared" si="292"/>
        <v>197079</v>
      </c>
      <c r="Q305" s="42">
        <f t="shared" si="293"/>
        <v>-153103</v>
      </c>
      <c r="R305" s="42">
        <f t="shared" si="294"/>
        <v>43857</v>
      </c>
      <c r="S305" s="42">
        <f t="shared" si="295"/>
        <v>73729</v>
      </c>
      <c r="T305" s="42">
        <f t="shared" si="296"/>
        <v>27609</v>
      </c>
      <c r="U305" s="42">
        <f t="shared" si="297"/>
        <v>212632</v>
      </c>
      <c r="V305" s="42">
        <f t="shared" si="298"/>
        <v>-115093</v>
      </c>
    </row>
    <row r="306" spans="1:25" x14ac:dyDescent="0.25">
      <c r="A306" t="s">
        <v>536</v>
      </c>
      <c r="B306" s="26">
        <f>Iochpe_Anual!B260</f>
        <v>215016000</v>
      </c>
      <c r="C306" s="26">
        <f>Iochpe_Anual!C260</f>
        <v>160869000</v>
      </c>
      <c r="D306" s="26">
        <f>Iochpe_Anual!D260</f>
        <v>54849000</v>
      </c>
      <c r="E306" s="26">
        <f>Iochpe_Anual!E260</f>
        <v>22176000</v>
      </c>
      <c r="F306" s="26">
        <f>Iochpe_Anual!F260</f>
        <v>-307656000</v>
      </c>
      <c r="G306" s="26">
        <f>Iochpe_Anual!G260</f>
        <v>111732000</v>
      </c>
      <c r="H306" s="26">
        <f>Iochpe_Anual!H260</f>
        <v>-56428000</v>
      </c>
      <c r="I306" s="26">
        <f>Iochpe_Anual!I260</f>
        <v>159234000</v>
      </c>
      <c r="J306" s="26">
        <f>Iochpe_Anual!J260</f>
        <v>959302000</v>
      </c>
      <c r="K306" s="26">
        <f>Iochpe_2_Tri!K260</f>
        <v>-37316000</v>
      </c>
      <c r="M306" s="42">
        <f t="shared" si="289"/>
        <v>215016</v>
      </c>
      <c r="N306" s="42">
        <f t="shared" si="290"/>
        <v>160869</v>
      </c>
      <c r="O306" s="42">
        <f t="shared" si="291"/>
        <v>54849</v>
      </c>
      <c r="P306" s="42">
        <f t="shared" si="292"/>
        <v>22176</v>
      </c>
      <c r="Q306" s="42">
        <f t="shared" si="293"/>
        <v>-307656</v>
      </c>
      <c r="R306" s="42">
        <f t="shared" si="294"/>
        <v>111732</v>
      </c>
      <c r="S306" s="42">
        <f t="shared" si="295"/>
        <v>-56428</v>
      </c>
      <c r="T306" s="42">
        <f t="shared" si="296"/>
        <v>159234</v>
      </c>
      <c r="U306" s="42">
        <f t="shared" si="297"/>
        <v>959302</v>
      </c>
      <c r="V306" s="42">
        <f t="shared" si="298"/>
        <v>-37316</v>
      </c>
    </row>
    <row r="307" spans="1:25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9" spans="1:25" x14ac:dyDescent="0.25">
      <c r="A309" t="s">
        <v>542</v>
      </c>
      <c r="B309" s="26">
        <f>Iochpe_Anual!B241</f>
        <v>-1304875000</v>
      </c>
      <c r="C309" s="26">
        <f>Iochpe_Anual!C241</f>
        <v>-249201000</v>
      </c>
      <c r="D309" s="26">
        <f>Iochpe_Anual!D241</f>
        <v>-286963000</v>
      </c>
      <c r="E309" s="26">
        <f>Iochpe_Anual!E241</f>
        <v>-321520000</v>
      </c>
      <c r="F309" s="26">
        <f>Iochpe_Anual!F241</f>
        <v>-274540000</v>
      </c>
      <c r="G309" s="26">
        <f>Iochpe_Anual!G241</f>
        <v>-237461000</v>
      </c>
      <c r="H309" s="26">
        <f>Iochpe_Anual!H241</f>
        <v>-470745000</v>
      </c>
      <c r="I309" s="26">
        <f>Iochpe_Anual!I241</f>
        <v>-524468000</v>
      </c>
      <c r="J309" s="26">
        <f>Iochpe_Anual!J241</f>
        <v>-335794000</v>
      </c>
      <c r="K309" s="26">
        <f>Iochpe_2_Tri!K241</f>
        <v>-291089000</v>
      </c>
      <c r="M309" s="21"/>
      <c r="N309" s="21" t="s">
        <v>361</v>
      </c>
      <c r="O309" s="21" t="s">
        <v>462</v>
      </c>
      <c r="P309" s="21">
        <v>2015</v>
      </c>
      <c r="Q309" s="21" t="s">
        <v>362</v>
      </c>
      <c r="R309" s="21" t="s">
        <v>363</v>
      </c>
      <c r="S309" s="21" t="s">
        <v>364</v>
      </c>
      <c r="T309" s="21" t="s">
        <v>365</v>
      </c>
      <c r="U309" s="21" t="s">
        <v>366</v>
      </c>
      <c r="V309" s="21" t="s">
        <v>463</v>
      </c>
    </row>
    <row r="310" spans="1:25" x14ac:dyDescent="0.25">
      <c r="A310" t="s">
        <v>543</v>
      </c>
      <c r="B310" s="26">
        <f>Iochpe_Anual!B243</f>
        <v>-1089728000</v>
      </c>
      <c r="C310" s="26">
        <f>Iochpe_Anual!C243</f>
        <v>0</v>
      </c>
      <c r="D310" s="26">
        <f>Iochpe_Anual!D243</f>
        <v>0</v>
      </c>
      <c r="E310" s="26">
        <f>Iochpe_Anual!E243</f>
        <v>0</v>
      </c>
      <c r="F310" s="26">
        <f>Iochpe_Anual!F243</f>
        <v>0</v>
      </c>
      <c r="G310" s="26">
        <f>Iochpe_Anual!G243</f>
        <v>0</v>
      </c>
      <c r="H310" s="26">
        <f>Iochpe_Anual!H243</f>
        <v>0</v>
      </c>
      <c r="I310" s="26">
        <f>Iochpe_Anual!I243</f>
        <v>-60934000</v>
      </c>
      <c r="J310" s="26">
        <f>Iochpe_Anual!J243</f>
        <v>0</v>
      </c>
      <c r="K310" s="26">
        <f>Iochpe_2_Tri!K243</f>
        <v>0</v>
      </c>
      <c r="M310" t="s">
        <v>524</v>
      </c>
      <c r="N310" s="44">
        <f>N289</f>
        <v>496458</v>
      </c>
      <c r="O310" s="44">
        <f t="shared" ref="O310:V310" si="309">O289</f>
        <v>462824</v>
      </c>
      <c r="P310" s="44">
        <f t="shared" si="309"/>
        <v>149954</v>
      </c>
      <c r="Q310" s="44">
        <f t="shared" si="309"/>
        <v>253963</v>
      </c>
      <c r="R310" s="44">
        <f t="shared" si="309"/>
        <v>303396</v>
      </c>
      <c r="S310" s="44">
        <f t="shared" si="309"/>
        <v>614720</v>
      </c>
      <c r="T310" s="44">
        <f t="shared" si="309"/>
        <v>657683</v>
      </c>
      <c r="U310" s="44">
        <f t="shared" si="309"/>
        <v>113169</v>
      </c>
      <c r="V310" s="44">
        <f t="shared" si="309"/>
        <v>422167</v>
      </c>
      <c r="X310" s="44">
        <f>SMALL($N310:$V310, 1)</f>
        <v>113169</v>
      </c>
      <c r="Y310" s="44">
        <f>LARGE($N310:$V310, 1)</f>
        <v>657683</v>
      </c>
    </row>
    <row r="311" spans="1:25" x14ac:dyDescent="0.25">
      <c r="A311" t="s">
        <v>544</v>
      </c>
      <c r="B311" s="26">
        <f>Iochpe_Anual!B244</f>
        <v>-260984000</v>
      </c>
      <c r="C311" s="26">
        <f>Iochpe_Anual!C244</f>
        <v>-249201000</v>
      </c>
      <c r="D311" s="26">
        <f>Iochpe_Anual!D244</f>
        <v>-302413000</v>
      </c>
      <c r="E311" s="26">
        <f>Iochpe_Anual!E244</f>
        <v>-321520000</v>
      </c>
      <c r="F311" s="26">
        <f>Iochpe_Anual!F244</f>
        <v>-293453000</v>
      </c>
      <c r="G311" s="26">
        <f>Iochpe_Anual!G244</f>
        <v>-237461000</v>
      </c>
      <c r="H311" s="26">
        <f>Iochpe_Anual!H244</f>
        <v>-470745000</v>
      </c>
      <c r="I311" s="26">
        <f>Iochpe_Anual!I244</f>
        <v>-483627000</v>
      </c>
      <c r="J311" s="26">
        <f>Iochpe_Anual!J244</f>
        <v>-335794000</v>
      </c>
      <c r="K311" s="26">
        <f>Iochpe_2_Tri!K244</f>
        <v>-291089000</v>
      </c>
      <c r="M311" t="s">
        <v>541</v>
      </c>
      <c r="N311" s="44">
        <f>N295</f>
        <v>-249201</v>
      </c>
      <c r="O311" s="44">
        <f t="shared" ref="O311:V311" si="310">O295</f>
        <v>-286963</v>
      </c>
      <c r="P311" s="44">
        <f t="shared" si="310"/>
        <v>-321520</v>
      </c>
      <c r="Q311" s="44">
        <f t="shared" si="310"/>
        <v>-274540</v>
      </c>
      <c r="R311" s="44">
        <f t="shared" si="310"/>
        <v>-237461</v>
      </c>
      <c r="S311" s="44">
        <f t="shared" si="310"/>
        <v>-470745</v>
      </c>
      <c r="T311" s="44">
        <f t="shared" si="310"/>
        <v>-524468</v>
      </c>
      <c r="U311" s="44">
        <f t="shared" si="310"/>
        <v>-335794</v>
      </c>
      <c r="V311" s="44">
        <f t="shared" si="310"/>
        <v>-291089</v>
      </c>
      <c r="X311" s="44">
        <f t="shared" ref="X311:X312" si="311">SMALL($N311:$V311, 1)</f>
        <v>-524468</v>
      </c>
      <c r="Y311" s="44">
        <f>LARGE($N311:$V311, 1)</f>
        <v>-237461</v>
      </c>
    </row>
    <row r="312" spans="1:25" x14ac:dyDescent="0.25">
      <c r="A312" t="s">
        <v>545</v>
      </c>
      <c r="B312" s="26">
        <f>Iochpe_Anual!B245</f>
        <v>0</v>
      </c>
      <c r="C312" s="26">
        <f>Iochpe_Anual!C245</f>
        <v>0</v>
      </c>
      <c r="D312" s="26">
        <f>Iochpe_Anual!D245</f>
        <v>15450000</v>
      </c>
      <c r="E312" s="26">
        <f>Iochpe_Anual!E245</f>
        <v>0</v>
      </c>
      <c r="F312" s="26">
        <f>Iochpe_Anual!F245</f>
        <v>18913000</v>
      </c>
      <c r="G312" s="26">
        <f>Iochpe_Anual!G245</f>
        <v>0</v>
      </c>
      <c r="H312" s="26">
        <f>Iochpe_Anual!H245</f>
        <v>0</v>
      </c>
      <c r="I312" s="26">
        <f>Iochpe_Anual!I245</f>
        <v>0</v>
      </c>
      <c r="J312" s="26">
        <f>Iochpe_Anual!J245</f>
        <v>0</v>
      </c>
      <c r="K312" s="26">
        <f>Iochpe_2_Tri!K245</f>
        <v>0</v>
      </c>
      <c r="M312" t="s">
        <v>530</v>
      </c>
      <c r="N312" s="44">
        <f>N300</f>
        <v>-143058</v>
      </c>
      <c r="O312" s="44">
        <f t="shared" ref="O312:V312" si="312">O300</f>
        <v>-146293</v>
      </c>
      <c r="P312" s="44">
        <f t="shared" si="312"/>
        <v>-3337</v>
      </c>
      <c r="Q312" s="44">
        <f t="shared" si="312"/>
        <v>-133976</v>
      </c>
      <c r="R312" s="44">
        <f t="shared" si="312"/>
        <v>1940</v>
      </c>
      <c r="S312" s="44">
        <f t="shared" si="312"/>
        <v>-274132</v>
      </c>
      <c r="T312" s="44">
        <f t="shared" si="312"/>
        <v>-1590</v>
      </c>
      <c r="U312" s="44">
        <f t="shared" si="312"/>
        <v>969295</v>
      </c>
      <c r="V312" s="44">
        <f t="shared" si="312"/>
        <v>-53301</v>
      </c>
      <c r="X312" s="44">
        <f t="shared" si="311"/>
        <v>-274132</v>
      </c>
      <c r="Y312" s="44">
        <f>LARGE($N312:$V312, 1)</f>
        <v>969295</v>
      </c>
    </row>
    <row r="313" spans="1:25" x14ac:dyDescent="0.25">
      <c r="A313" t="s">
        <v>546</v>
      </c>
    </row>
    <row r="315" spans="1:25" x14ac:dyDescent="0.25">
      <c r="A315" t="s">
        <v>530</v>
      </c>
      <c r="B315" s="26">
        <f>Iochpe_Anual!B249</f>
        <v>1684157000</v>
      </c>
      <c r="C315" s="26">
        <f>Iochpe_Anual!C249</f>
        <v>-143058000</v>
      </c>
      <c r="D315" s="26">
        <f>Iochpe_Anual!D249</f>
        <v>-146293000</v>
      </c>
      <c r="E315" s="26">
        <f>Iochpe_Anual!E249</f>
        <v>-3337000</v>
      </c>
      <c r="F315" s="26">
        <f>Iochpe_Anual!F249</f>
        <v>-133976000</v>
      </c>
      <c r="G315" s="26">
        <f>Iochpe_Anual!G249</f>
        <v>1940000</v>
      </c>
      <c r="H315" s="26">
        <f>Iochpe_Anual!H249</f>
        <v>-274132000</v>
      </c>
      <c r="I315" s="26">
        <f>Iochpe_Anual!I249</f>
        <v>-1590000</v>
      </c>
      <c r="J315" s="26">
        <f>Iochpe_Anual!J249</f>
        <v>969295000</v>
      </c>
      <c r="K315" s="26">
        <f>Iochpe_2_Tri!K249</f>
        <v>-53301000</v>
      </c>
    </row>
    <row r="316" spans="1:25" x14ac:dyDescent="0.25">
      <c r="A316" t="s">
        <v>531</v>
      </c>
      <c r="B316" s="26">
        <f>Iochpe_Anual!B256</f>
        <v>-86844000</v>
      </c>
      <c r="C316" s="26">
        <f>Iochpe_Anual!C256</f>
        <v>-57107000</v>
      </c>
      <c r="D316" s="26">
        <f>Iochpe_Anual!D256</f>
        <v>-136973000</v>
      </c>
      <c r="E316" s="26">
        <f>Iochpe_Anual!E256</f>
        <v>-85649000</v>
      </c>
      <c r="F316" s="26">
        <f>Iochpe_Anual!F256</f>
        <v>-98568000</v>
      </c>
      <c r="G316" s="26">
        <f>Iochpe_Anual!G256</f>
        <v>-80684000</v>
      </c>
      <c r="H316" s="26">
        <f>Iochpe_Anual!H256</f>
        <v>-129518000</v>
      </c>
      <c r="I316" s="26">
        <f>Iochpe_Anual!I256</f>
        <v>-203889000</v>
      </c>
      <c r="J316" s="26">
        <f>Iochpe_Anual!J256</f>
        <v>-146196000</v>
      </c>
      <c r="K316" s="26">
        <f>Iochpe_2_Tri!K256</f>
        <v>-103090000</v>
      </c>
    </row>
    <row r="317" spans="1:25" x14ac:dyDescent="0.25">
      <c r="A317" t="s">
        <v>533</v>
      </c>
      <c r="B317" s="26">
        <f>Iochpe_Anual!B251</f>
        <v>2956160000</v>
      </c>
      <c r="C317" s="26">
        <f>Iochpe_Anual!C251</f>
        <v>1967770000</v>
      </c>
      <c r="D317" s="26">
        <f>Iochpe_Anual!D251</f>
        <v>581566000</v>
      </c>
      <c r="E317" s="26">
        <f>Iochpe_Anual!E251</f>
        <v>1401548000</v>
      </c>
      <c r="F317" s="26">
        <f>Iochpe_Anual!F251</f>
        <v>2961936000</v>
      </c>
      <c r="G317" s="26">
        <f>Iochpe_Anual!G251</f>
        <v>1336434000</v>
      </c>
      <c r="H317" s="26">
        <f>Iochpe_Anual!H251</f>
        <v>2001080000</v>
      </c>
      <c r="I317" s="26">
        <f>Iochpe_Anual!I251</f>
        <v>2576517000</v>
      </c>
      <c r="J317" s="26">
        <f>Iochpe_Anual!J251</f>
        <v>2462923000</v>
      </c>
      <c r="K317" s="26">
        <f>Iochpe_2_Tri!K251</f>
        <v>3878663000</v>
      </c>
    </row>
    <row r="318" spans="1:25" x14ac:dyDescent="0.25">
      <c r="A318" t="s">
        <v>532</v>
      </c>
      <c r="B318" s="26">
        <f>Iochpe_Anual!B252</f>
        <v>-1183244000</v>
      </c>
      <c r="C318" s="26">
        <f>Iochpe_Anual!C252</f>
        <v>-2053721000</v>
      </c>
      <c r="D318" s="26">
        <f>Iochpe_Anual!D252</f>
        <v>-590886000</v>
      </c>
      <c r="E318" s="26">
        <f>Iochpe_Anual!E252</f>
        <v>-1319236000</v>
      </c>
      <c r="F318" s="26">
        <f>Iochpe_Anual!F252</f>
        <v>-2995189000</v>
      </c>
      <c r="G318" s="26">
        <f>Iochpe_Anual!G252</f>
        <v>-1794627000</v>
      </c>
      <c r="H318" s="26">
        <f>Iochpe_Anual!H252</f>
        <v>-2131901000</v>
      </c>
      <c r="I318" s="26">
        <f>Iochpe_Anual!I252</f>
        <v>-2438884000</v>
      </c>
      <c r="J318" s="26">
        <f>Iochpe_Anual!J252</f>
        <v>-1352329000</v>
      </c>
      <c r="K318" s="26">
        <f>Iochpe_2_Tri!K252</f>
        <v>-3828874000</v>
      </c>
    </row>
    <row r="319" spans="1:25" x14ac:dyDescent="0.25">
      <c r="A319" t="s">
        <v>534</v>
      </c>
      <c r="B319" s="26">
        <f>Iochpe_Anual!B253+Iochpe_Anual!B257</f>
        <v>-1915000</v>
      </c>
      <c r="C319" s="26">
        <f>Iochpe_Anual!C253+Iochpe_Anual!C257</f>
        <v>0</v>
      </c>
      <c r="D319" s="26">
        <f>Iochpe_Anual!D253+Iochpe_Anual!D257</f>
        <v>0</v>
      </c>
      <c r="E319" s="26">
        <f>Iochpe_Anual!E253+Iochpe_Anual!E257</f>
        <v>0</v>
      </c>
      <c r="F319" s="26">
        <f>Iochpe_Anual!F253+Iochpe_Anual!F257</f>
        <v>-2155000</v>
      </c>
      <c r="G319" s="26">
        <f>Iochpe_Anual!G253+Iochpe_Anual!G257</f>
        <v>540817000</v>
      </c>
      <c r="H319" s="26">
        <f>Iochpe_Anual!H253+Iochpe_Anual!H257</f>
        <v>-13793000</v>
      </c>
      <c r="I319" s="26">
        <f>Iochpe_Anual!I253+Iochpe_Anual!I257</f>
        <v>64666000</v>
      </c>
      <c r="J319" s="26">
        <f>Iochpe_Anual!J253+Iochpe_Anual!J257</f>
        <v>4897000</v>
      </c>
      <c r="K319" s="26">
        <f>Iochpe_2_Tri!K253+Iochpe_2_Tri!K257</f>
        <v>0</v>
      </c>
    </row>
    <row r="327" spans="1:11" x14ac:dyDescent="0.25">
      <c r="A327" t="s">
        <v>553</v>
      </c>
    </row>
    <row r="328" spans="1:11" x14ac:dyDescent="0.25">
      <c r="B328" s="21" t="s">
        <v>467</v>
      </c>
      <c r="C328" s="21" t="s">
        <v>361</v>
      </c>
      <c r="D328" s="21" t="s">
        <v>462</v>
      </c>
      <c r="E328" s="21">
        <v>2015</v>
      </c>
      <c r="F328" s="21" t="s">
        <v>362</v>
      </c>
      <c r="G328" s="21" t="s">
        <v>363</v>
      </c>
      <c r="H328" s="21" t="s">
        <v>364</v>
      </c>
      <c r="I328" s="21" t="s">
        <v>365</v>
      </c>
      <c r="J328" s="21" t="s">
        <v>366</v>
      </c>
      <c r="K328" s="21" t="s">
        <v>463</v>
      </c>
    </row>
    <row r="329" spans="1:11" x14ac:dyDescent="0.25">
      <c r="A329" t="s">
        <v>554</v>
      </c>
      <c r="B329" s="51">
        <f>B33/B48</f>
        <v>1.1913656010641651</v>
      </c>
      <c r="C329" s="51">
        <f t="shared" ref="C329:K329" si="313">C33/C48</f>
        <v>1.2097935229978338</v>
      </c>
      <c r="D329" s="51">
        <f t="shared" si="313"/>
        <v>1.0089940933112045</v>
      </c>
      <c r="E329" s="51">
        <f t="shared" si="313"/>
        <v>0.88315823553217321</v>
      </c>
      <c r="F329" s="51">
        <f t="shared" si="313"/>
        <v>0.93773770987171845</v>
      </c>
      <c r="G329" s="51">
        <f t="shared" si="313"/>
        <v>0.99604979525322013</v>
      </c>
      <c r="H329" s="51">
        <f t="shared" si="313"/>
        <v>1.0803147559237471</v>
      </c>
      <c r="I329" s="51">
        <f t="shared" si="313"/>
        <v>1.2995810526169116</v>
      </c>
      <c r="J329" s="51">
        <f t="shared" si="313"/>
        <v>1.1859814159883706</v>
      </c>
      <c r="K329" s="51">
        <f t="shared" si="313"/>
        <v>1.298340345022363</v>
      </c>
    </row>
    <row r="330" spans="1:11" x14ac:dyDescent="0.25">
      <c r="A330" t="s">
        <v>555</v>
      </c>
      <c r="B330" s="51">
        <f>(B33-B37)/B48</f>
        <v>0.80219843404974289</v>
      </c>
      <c r="C330" s="51">
        <f t="shared" ref="C330:K330" si="314">(C33-C37)/C48</f>
        <v>0.86137073774187622</v>
      </c>
      <c r="D330" s="51">
        <f t="shared" si="314"/>
        <v>0.70593421580640292</v>
      </c>
      <c r="E330" s="51">
        <f t="shared" si="314"/>
        <v>0.60645568595710242</v>
      </c>
      <c r="F330" s="51">
        <f t="shared" si="314"/>
        <v>0.5947062301549062</v>
      </c>
      <c r="G330" s="51">
        <f t="shared" si="314"/>
        <v>0.6067973186568193</v>
      </c>
      <c r="H330" s="51">
        <f t="shared" si="314"/>
        <v>0.63638559838667197</v>
      </c>
      <c r="I330" s="51">
        <f t="shared" si="314"/>
        <v>0.78539126140164683</v>
      </c>
      <c r="J330" s="51">
        <f t="shared" si="314"/>
        <v>0.78425443502982572</v>
      </c>
      <c r="K330" s="51">
        <f t="shared" si="314"/>
        <v>0.78077856830211867</v>
      </c>
    </row>
    <row r="331" spans="1:11" x14ac:dyDescent="0.25">
      <c r="A331" t="s">
        <v>556</v>
      </c>
      <c r="B331" s="51">
        <f>B34/B48</f>
        <v>0.28002888195220765</v>
      </c>
      <c r="C331" s="51">
        <f t="shared" ref="C331:K331" si="315">C34/C48</f>
        <v>0.36105533295786441</v>
      </c>
      <c r="D331" s="51">
        <f t="shared" si="315"/>
        <v>0.32043898432479728</v>
      </c>
      <c r="E331" s="51">
        <f t="shared" si="315"/>
        <v>0.23933791987049777</v>
      </c>
      <c r="F331" s="51">
        <f t="shared" si="315"/>
        <v>0.17115269385684923</v>
      </c>
      <c r="G331" s="51">
        <f t="shared" si="315"/>
        <v>0.17750961006307389</v>
      </c>
      <c r="H331" s="51">
        <f t="shared" si="315"/>
        <v>0.14927299990281526</v>
      </c>
      <c r="I331" s="51">
        <f t="shared" si="315"/>
        <v>0.25008999008367339</v>
      </c>
      <c r="J331" s="51">
        <f t="shared" si="315"/>
        <v>0.36885860403712761</v>
      </c>
      <c r="K331" s="51">
        <f t="shared" si="315"/>
        <v>0.2834214142566665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F45"/>
  <sheetViews>
    <sheetView workbookViewId="0">
      <selection activeCell="B5" sqref="B5"/>
    </sheetView>
  </sheetViews>
  <sheetFormatPr defaultRowHeight="15" x14ac:dyDescent="0.25"/>
  <cols>
    <col min="1" max="1" width="37.140625" customWidth="1"/>
    <col min="2" max="11" width="17.28515625" customWidth="1"/>
  </cols>
  <sheetData>
    <row r="4" spans="1:11" x14ac:dyDescent="0.25">
      <c r="B4" s="21" t="s">
        <v>467</v>
      </c>
      <c r="C4" s="21" t="s">
        <v>361</v>
      </c>
      <c r="D4" s="21">
        <v>2014</v>
      </c>
      <c r="E4" s="21">
        <v>2015</v>
      </c>
      <c r="F4" s="21" t="s">
        <v>362</v>
      </c>
      <c r="G4" s="21" t="s">
        <v>363</v>
      </c>
      <c r="H4" s="21" t="s">
        <v>364</v>
      </c>
      <c r="I4" s="21" t="s">
        <v>365</v>
      </c>
      <c r="J4" s="21" t="s">
        <v>366</v>
      </c>
      <c r="K4" s="21" t="s">
        <v>367</v>
      </c>
    </row>
    <row r="5" spans="1:11" x14ac:dyDescent="0.25">
      <c r="A5" t="s">
        <v>562</v>
      </c>
      <c r="B5" s="37">
        <f>Iochpe_Anual_e_2_Tri!B59</f>
        <v>1090910000</v>
      </c>
      <c r="C5" s="37">
        <f>Iochpe_Anual_e_2_Tri!C59</f>
        <v>1445160000</v>
      </c>
      <c r="D5" s="37">
        <f>Iochpe_Anual_e_2_Tri!D59</f>
        <v>1604503000</v>
      </c>
      <c r="E5" s="37">
        <f>Iochpe_Anual_e_2_Tri!E59</f>
        <v>2456490000</v>
      </c>
      <c r="F5" s="37">
        <f>Iochpe_Anual_e_2_Tri!F59</f>
        <v>2017077000</v>
      </c>
      <c r="G5" s="37">
        <f>Iochpe_Anual_e_2_Tri!G59</f>
        <v>2630505000</v>
      </c>
      <c r="H5" s="37">
        <f>Iochpe_Anual_e_2_Tri!H59</f>
        <v>3198527000</v>
      </c>
      <c r="I5" s="37">
        <f>Iochpe_Anual_e_2_Tri!I59</f>
        <v>3496976000</v>
      </c>
      <c r="J5" s="37">
        <f>Iochpe_Anual_e_2_Tri!J59</f>
        <v>3802761000</v>
      </c>
      <c r="K5" s="37">
        <f>Iochpe_Anual_e_2_Tri!K59</f>
        <v>3893193000</v>
      </c>
    </row>
    <row r="6" spans="1:11" x14ac:dyDescent="0.25">
      <c r="A6" t="s">
        <v>563</v>
      </c>
      <c r="B6" s="37">
        <f>Iochpe_Anual_e_2_Tri!B93</f>
        <v>66864000</v>
      </c>
      <c r="C6" s="37">
        <f>Iochpe_Anual_e_2_Tri!C93</f>
        <v>170329000</v>
      </c>
      <c r="D6" s="37">
        <f>Iochpe_Anual_e_2_Tri!D93</f>
        <v>67777000</v>
      </c>
      <c r="E6" s="37">
        <f>Iochpe_Anual_e_2_Tri!E93</f>
        <v>49366000</v>
      </c>
      <c r="F6" s="37">
        <f>Iochpe_Anual_e_2_Tri!F93</f>
        <v>21531000</v>
      </c>
      <c r="G6" s="37">
        <f>Iochpe_Anual_e_2_Tri!G93</f>
        <v>6403000</v>
      </c>
      <c r="H6" s="37">
        <f>Iochpe_Anual_e_2_Tri!H93</f>
        <v>201325000</v>
      </c>
      <c r="I6" s="37">
        <f>Iochpe_Anual_e_2_Tri!I93</f>
        <v>337435000</v>
      </c>
      <c r="J6" s="37">
        <f>Iochpe_Anual_e_2_Tri!J93</f>
        <v>-491780000</v>
      </c>
      <c r="K6" s="37">
        <f>Iochpe_Anual_e_2_Tri!K93</f>
        <v>117712000</v>
      </c>
    </row>
    <row r="7" spans="1:11" x14ac:dyDescent="0.25">
      <c r="A7" t="s">
        <v>564</v>
      </c>
      <c r="B7" s="37">
        <f>Iochpe_Anual_e_2_Tri!B92</f>
        <v>38842000</v>
      </c>
      <c r="C7" s="37">
        <f>Iochpe_Anual_e_2_Tri!C92</f>
        <v>40971000</v>
      </c>
      <c r="D7" s="37">
        <f>Iochpe_Anual_e_2_Tri!D92</f>
        <v>50255000</v>
      </c>
      <c r="E7" s="37">
        <f>Iochpe_Anual_e_2_Tri!E92</f>
        <v>70483000</v>
      </c>
      <c r="F7" s="37">
        <f>Iochpe_Anual_e_2_Tri!F92</f>
        <v>67599000</v>
      </c>
      <c r="G7" s="37">
        <f>Iochpe_Anual_e_2_Tri!G92</f>
        <v>73806000</v>
      </c>
      <c r="H7" s="37">
        <f>Iochpe_Anual_e_2_Tri!H92</f>
        <v>104817000</v>
      </c>
      <c r="I7" s="37">
        <f>Iochpe_Anual_e_2_Tri!I92</f>
        <v>83980000</v>
      </c>
      <c r="J7" s="37">
        <f>Iochpe_Anual_e_2_Tri!J92</f>
        <v>71866000</v>
      </c>
      <c r="K7" s="37">
        <f>Iochpe_Anual_e_2_Tri!K92</f>
        <v>96758000</v>
      </c>
    </row>
    <row r="8" spans="1:11" x14ac:dyDescent="0.25">
      <c r="A8" t="s">
        <v>565</v>
      </c>
      <c r="B8" s="37">
        <f>Iochpe_Anual_e_2_Tri!B32</f>
        <v>5785582000</v>
      </c>
      <c r="C8" s="37">
        <f>Iochpe_Anual_e_2_Tri!C32</f>
        <v>6035705000</v>
      </c>
      <c r="D8" s="37">
        <f>Iochpe_Anual_e_2_Tri!D32</f>
        <v>6289024000</v>
      </c>
      <c r="E8" s="37">
        <f>Iochpe_Anual_e_2_Tri!E32</f>
        <v>7990379000</v>
      </c>
      <c r="F8" s="37">
        <f>Iochpe_Anual_e_2_Tri!F32</f>
        <v>7057115000</v>
      </c>
      <c r="G8" s="37">
        <f>Iochpe_Anual_e_2_Tri!G32</f>
        <v>7922248000</v>
      </c>
      <c r="H8" s="37">
        <f>Iochpe_Anual_e_2_Tri!H32</f>
        <v>9019190000</v>
      </c>
      <c r="I8" s="37">
        <f>Iochpe_Anual_e_2_Tri!I32</f>
        <v>9375411000</v>
      </c>
      <c r="J8" s="37">
        <f>Iochpe_Anual_e_2_Tri!J32</f>
        <v>12411803000</v>
      </c>
      <c r="K8" s="37">
        <f>Iochpe_Anual_e_2_Tri!K32</f>
        <v>13203278000</v>
      </c>
    </row>
    <row r="9" spans="1:11" x14ac:dyDescent="0.25">
      <c r="A9" t="s">
        <v>567</v>
      </c>
      <c r="B9" s="37">
        <f>Iochpe_Anual_e_2_Tri!B80</f>
        <v>278510000</v>
      </c>
      <c r="C9" s="37">
        <f>Iochpe_Anual_e_2_Tri!C80</f>
        <v>453559000</v>
      </c>
      <c r="D9" s="37">
        <f>Iochpe_Anual_e_2_Tri!D80</f>
        <v>417703000</v>
      </c>
      <c r="E9" s="37">
        <f>Iochpe_Anual_e_2_Tri!E80</f>
        <v>449602000</v>
      </c>
      <c r="F9" s="37">
        <f>Iochpe_Anual_e_2_Tri!F80</f>
        <v>479322000</v>
      </c>
      <c r="G9" s="37">
        <f>Iochpe_Anual_e_2_Tri!G80</f>
        <v>496556000</v>
      </c>
      <c r="H9" s="37">
        <f>Iochpe_Anual_e_2_Tri!H80</f>
        <v>701493000</v>
      </c>
      <c r="I9" s="37">
        <f>Iochpe_Anual_e_2_Tri!I80</f>
        <v>676255000</v>
      </c>
      <c r="J9" s="37">
        <f>Iochpe_Anual_e_2_Tri!J80</f>
        <v>-184721000</v>
      </c>
      <c r="K9" s="37">
        <f>Iochpe_Anual_e_2_Tri!K80</f>
        <v>739189000</v>
      </c>
    </row>
    <row r="10" spans="1:11" x14ac:dyDescent="0.25">
      <c r="A10" t="s">
        <v>566</v>
      </c>
      <c r="B10" s="37">
        <f>(1-0.34)*B9</f>
        <v>183816599.99999997</v>
      </c>
      <c r="C10" s="37">
        <f t="shared" ref="C10:K10" si="0">(1-0.34)*C9</f>
        <v>299348939.99999994</v>
      </c>
      <c r="D10" s="37">
        <f t="shared" si="0"/>
        <v>275683979.99999994</v>
      </c>
      <c r="E10" s="37">
        <f t="shared" si="0"/>
        <v>296737319.99999994</v>
      </c>
      <c r="F10" s="37">
        <f t="shared" si="0"/>
        <v>316352519.99999994</v>
      </c>
      <c r="G10" s="37">
        <f t="shared" si="0"/>
        <v>327726959.99999994</v>
      </c>
      <c r="H10" s="37">
        <f t="shared" si="0"/>
        <v>462985379.99999994</v>
      </c>
      <c r="I10" s="37">
        <f t="shared" si="0"/>
        <v>446328299.99999994</v>
      </c>
      <c r="J10" s="37">
        <f t="shared" si="0"/>
        <v>-121915859.99999999</v>
      </c>
      <c r="K10" s="37">
        <f t="shared" si="0"/>
        <v>487864739.99999994</v>
      </c>
    </row>
    <row r="11" spans="1:11" x14ac:dyDescent="0.25">
      <c r="A11" t="s">
        <v>569</v>
      </c>
      <c r="B11" s="37">
        <f>Iochpe_Anual_e_2_Tri!B50+Iochpe_Anual_e_2_Tri!B55</f>
        <v>3000905000</v>
      </c>
      <c r="C11" s="37">
        <f>Iochpe_Anual_e_2_Tri!C50+Iochpe_Anual_e_2_Tri!C55</f>
        <v>2773484000</v>
      </c>
      <c r="D11" s="37">
        <f>Iochpe_Anual_e_2_Tri!D50+Iochpe_Anual_e_2_Tri!D55</f>
        <v>2892406000</v>
      </c>
      <c r="E11" s="37">
        <f>Iochpe_Anual_e_2_Tri!E50+Iochpe_Anual_e_2_Tri!E55</f>
        <v>3414855000</v>
      </c>
      <c r="F11" s="37">
        <f>Iochpe_Anual_e_2_Tri!F50+Iochpe_Anual_e_2_Tri!F55</f>
        <v>3060085000</v>
      </c>
      <c r="G11" s="37">
        <f>Iochpe_Anual_e_2_Tri!G50+Iochpe_Anual_e_2_Tri!G55</f>
        <v>2843276000</v>
      </c>
      <c r="H11" s="37">
        <f>Iochpe_Anual_e_2_Tri!H50+Iochpe_Anual_e_2_Tri!H55</f>
        <v>2813705000</v>
      </c>
      <c r="I11" s="37">
        <f>Iochpe_Anual_e_2_Tri!I50+Iochpe_Anual_e_2_Tri!I55</f>
        <v>3061583000</v>
      </c>
      <c r="J11" s="37">
        <f>Iochpe_Anual_e_2_Tri!J50+Iochpe_Anual_e_2_Tri!J55</f>
        <v>5120389000</v>
      </c>
      <c r="K11" s="37">
        <f>Iochpe_Anual_e_2_Tri!K50+Iochpe_Anual_e_2_Tri!K55</f>
        <v>5373144000</v>
      </c>
    </row>
    <row r="12" spans="1:11" x14ac:dyDescent="0.25">
      <c r="A12" t="s">
        <v>568</v>
      </c>
      <c r="B12" s="37">
        <f>B8-B14+B15-B13</f>
        <v>4283469000</v>
      </c>
      <c r="C12" s="37">
        <f>C8-C14+C15-C13</f>
        <v>4251627000</v>
      </c>
      <c r="D12" s="37">
        <f>D8-D14+D15-D13</f>
        <v>4405187000</v>
      </c>
      <c r="E12" s="37">
        <f>E8-E14+E15-E13</f>
        <v>5847076000</v>
      </c>
      <c r="F12" s="37">
        <f>F8-F14+F15-F13</f>
        <v>5286605000</v>
      </c>
      <c r="G12" s="37">
        <f>G8-G14+G15-G13</f>
        <v>5670607000</v>
      </c>
      <c r="H12" s="37">
        <f>H8-H14+H15-H13</f>
        <v>6346607000</v>
      </c>
      <c r="I12" s="37">
        <f>I8-I14+I15-I13</f>
        <v>6794353000</v>
      </c>
      <c r="J12" s="37">
        <f>J8-J14+J15-J13</f>
        <v>8361477000</v>
      </c>
      <c r="K12" s="37">
        <f>K8-K14+K15-K13</f>
        <v>8865023000</v>
      </c>
    </row>
    <row r="13" spans="1:11" x14ac:dyDescent="0.25">
      <c r="A13" t="s">
        <v>570</v>
      </c>
      <c r="B13" s="37">
        <f>Iochpe_Anual_e_2_Tri!B23</f>
        <v>506500000</v>
      </c>
      <c r="C13" s="37">
        <f>Iochpe_Anual_e_2_Tri!C23</f>
        <v>662230000</v>
      </c>
      <c r="D13" s="37">
        <f>Iochpe_Anual_e_2_Tri!D23</f>
        <v>717079000</v>
      </c>
      <c r="E13" s="37">
        <f>Iochpe_Anual_e_2_Tri!E23</f>
        <v>739255000</v>
      </c>
      <c r="F13" s="37">
        <f>Iochpe_Anual_e_2_Tri!F23</f>
        <v>431599000</v>
      </c>
      <c r="G13" s="37">
        <f>Iochpe_Anual_e_2_Tri!G23</f>
        <v>543331000</v>
      </c>
      <c r="H13" s="37">
        <f>Iochpe_Anual_e_2_Tri!H23</f>
        <v>486903000</v>
      </c>
      <c r="I13" s="37">
        <f>Iochpe_Anual_e_2_Tri!I23</f>
        <v>646137000</v>
      </c>
      <c r="J13" s="37">
        <f>Iochpe_Anual_e_2_Tri!J23</f>
        <v>1605439000</v>
      </c>
      <c r="K13" s="37">
        <f>Iochpe_Anual_e_2_Tri!K23</f>
        <v>1355258000</v>
      </c>
    </row>
    <row r="14" spans="1:11" x14ac:dyDescent="0.25">
      <c r="A14" t="s">
        <v>571</v>
      </c>
      <c r="B14" s="37">
        <f>Iochpe_Anual_e_2_Tri!B48</f>
        <v>1808742000</v>
      </c>
      <c r="C14" s="37">
        <f>Iochpe_Anual_e_2_Tri!C48</f>
        <v>1834151000</v>
      </c>
      <c r="D14" s="37">
        <f>Iochpe_Anual_e_2_Tri!D48</f>
        <v>2237802000</v>
      </c>
      <c r="E14" s="37">
        <f>Iochpe_Anual_e_2_Tri!E48</f>
        <v>3088750000</v>
      </c>
      <c r="F14" s="37">
        <f>Iochpe_Anual_e_2_Tri!F48</f>
        <v>2521719000</v>
      </c>
      <c r="G14" s="37">
        <f>Iochpe_Anual_e_2_Tri!G48</f>
        <v>3060854000</v>
      </c>
      <c r="H14" s="37">
        <f>Iochpe_Anual_e_2_Tri!H48</f>
        <v>3261829000</v>
      </c>
      <c r="I14" s="37">
        <f>Iochpe_Anual_e_2_Tri!I48</f>
        <v>2583618000</v>
      </c>
      <c r="J14" s="37">
        <f>Iochpe_Anual_e_2_Tri!J48</f>
        <v>4352451000</v>
      </c>
      <c r="K14" s="37">
        <f>Iochpe_Anual_e_2_Tri!K48</f>
        <v>4781777000</v>
      </c>
    </row>
    <row r="15" spans="1:11" x14ac:dyDescent="0.25">
      <c r="A15" t="s">
        <v>572</v>
      </c>
      <c r="B15" s="37">
        <f>Iochpe_Anual_e_2_Tri!B50</f>
        <v>813129000</v>
      </c>
      <c r="C15" s="37">
        <f>Iochpe_Anual_e_2_Tri!C50</f>
        <v>712303000</v>
      </c>
      <c r="D15" s="37">
        <f>Iochpe_Anual_e_2_Tri!D50</f>
        <v>1071044000</v>
      </c>
      <c r="E15" s="37">
        <f>Iochpe_Anual_e_2_Tri!E50</f>
        <v>1684702000</v>
      </c>
      <c r="F15" s="37">
        <f>Iochpe_Anual_e_2_Tri!F50</f>
        <v>1182808000</v>
      </c>
      <c r="G15" s="37">
        <f>Iochpe_Anual_e_2_Tri!G50</f>
        <v>1352544000</v>
      </c>
      <c r="H15" s="37">
        <f>Iochpe_Anual_e_2_Tri!H50</f>
        <v>1076149000</v>
      </c>
      <c r="I15" s="37">
        <f>Iochpe_Anual_e_2_Tri!I50</f>
        <v>648697000</v>
      </c>
      <c r="J15" s="37">
        <f>Iochpe_Anual_e_2_Tri!J50</f>
        <v>1907564000</v>
      </c>
      <c r="K15" s="37">
        <f>Iochpe_Anual_e_2_Tri!K50</f>
        <v>1798780000</v>
      </c>
    </row>
    <row r="24" spans="1:32" x14ac:dyDescent="0.25">
      <c r="B24" s="21" t="s">
        <v>467</v>
      </c>
      <c r="C24" s="21" t="s">
        <v>361</v>
      </c>
      <c r="D24" s="21">
        <v>2014</v>
      </c>
      <c r="E24" s="21">
        <v>2015</v>
      </c>
      <c r="F24" s="21" t="s">
        <v>362</v>
      </c>
      <c r="G24" s="21" t="s">
        <v>363</v>
      </c>
      <c r="H24" s="21" t="s">
        <v>364</v>
      </c>
      <c r="I24" s="21" t="s">
        <v>365</v>
      </c>
      <c r="J24" s="21" t="s">
        <v>366</v>
      </c>
      <c r="K24" s="21" t="s">
        <v>367</v>
      </c>
      <c r="M24" s="55" t="s">
        <v>573</v>
      </c>
      <c r="N24" s="55" t="s">
        <v>574</v>
      </c>
      <c r="AF24">
        <v>1</v>
      </c>
    </row>
    <row r="25" spans="1:32" x14ac:dyDescent="0.25">
      <c r="A25" t="s">
        <v>559</v>
      </c>
      <c r="B25" s="53">
        <f>(B6+B7)/B5</f>
        <v>9.6897085919095072E-2</v>
      </c>
      <c r="C25" s="53">
        <f>(C6+C7)/C5</f>
        <v>0.14621218411802153</v>
      </c>
      <c r="D25" s="53">
        <f>(D6+D7)/D5</f>
        <v>7.3562966226925097E-2</v>
      </c>
      <c r="E25" s="53">
        <f>(E6+E7)/E5</f>
        <v>4.8788718863093272E-2</v>
      </c>
      <c r="F25" s="53">
        <f>(F6+F7)/F5</f>
        <v>4.418770329541212E-2</v>
      </c>
      <c r="G25" s="53">
        <f>(G6+G7)/G5</f>
        <v>3.0491863729588044E-2</v>
      </c>
      <c r="H25" s="53">
        <f>(H6+H7)/H5</f>
        <v>9.5713433089669092E-2</v>
      </c>
      <c r="I25" s="53">
        <f>(I6+I7)/I5</f>
        <v>0.12050840497618513</v>
      </c>
      <c r="J25" s="53">
        <f>(J6+J7)/J5</f>
        <v>-0.11042345285438659</v>
      </c>
      <c r="K25" s="53">
        <f>(K6+K7)/K5</f>
        <v>5.5088458239804704E-2</v>
      </c>
      <c r="M25" s="53">
        <f>SMALL($C25:$K25,1)</f>
        <v>-0.11042345285438659</v>
      </c>
      <c r="N25" s="53">
        <f>LARGE($C25:$K25,1)</f>
        <v>0.14621218411802153</v>
      </c>
      <c r="AF25">
        <f>AF24+1</f>
        <v>2</v>
      </c>
    </row>
    <row r="26" spans="1:32" x14ac:dyDescent="0.25">
      <c r="A26" t="s">
        <v>560</v>
      </c>
      <c r="B26" s="53">
        <f>(B$6+B$7)/B$8</f>
        <v>1.8270590581898245E-2</v>
      </c>
      <c r="C26" s="53">
        <f t="shared" ref="C26:K26" si="1">(C$6+C$7)/C$8</f>
        <v>3.5008337882649995E-2</v>
      </c>
      <c r="D26" s="53">
        <f t="shared" si="1"/>
        <v>1.8767936010420695E-2</v>
      </c>
      <c r="E26" s="53">
        <f t="shared" si="1"/>
        <v>1.499916336884646E-2</v>
      </c>
      <c r="F26" s="53">
        <f t="shared" si="1"/>
        <v>1.262980693952132E-2</v>
      </c>
      <c r="G26" s="53">
        <f t="shared" si="1"/>
        <v>1.0124525261011773E-2</v>
      </c>
      <c r="H26" s="53">
        <f t="shared" si="1"/>
        <v>3.3943402899816948E-2</v>
      </c>
      <c r="I26" s="53">
        <f t="shared" si="1"/>
        <v>4.4948962770805463E-2</v>
      </c>
      <c r="J26" s="53">
        <f t="shared" si="1"/>
        <v>-3.3831829267673683E-2</v>
      </c>
      <c r="K26" s="53">
        <f t="shared" si="1"/>
        <v>1.6243693422194096E-2</v>
      </c>
      <c r="M26" s="53">
        <f>SMALL($C26:$K26,1)</f>
        <v>-3.3831829267673683E-2</v>
      </c>
      <c r="N26" s="53">
        <f>LARGE($C26:$K26,1)</f>
        <v>4.4948962770805463E-2</v>
      </c>
      <c r="AF26">
        <f t="shared" ref="AF26:AF43" si="2">AF25+1</f>
        <v>3</v>
      </c>
    </row>
    <row r="27" spans="1:32" x14ac:dyDescent="0.25">
      <c r="A27" t="s">
        <v>561</v>
      </c>
      <c r="B27" s="53">
        <f>B10/B12</f>
        <v>4.2913022132295101E-2</v>
      </c>
      <c r="C27" s="53">
        <f t="shared" ref="C27:K27" si="3">C10/C12</f>
        <v>7.0408090832050865E-2</v>
      </c>
      <c r="D27" s="53">
        <f t="shared" si="3"/>
        <v>6.2581674739347032E-2</v>
      </c>
      <c r="E27" s="53">
        <f t="shared" si="3"/>
        <v>5.074969437715534E-2</v>
      </c>
      <c r="F27" s="53">
        <f t="shared" si="3"/>
        <v>5.9840392841908924E-2</v>
      </c>
      <c r="G27" s="53">
        <f t="shared" si="3"/>
        <v>5.7793982196262222E-2</v>
      </c>
      <c r="H27" s="53">
        <f t="shared" si="3"/>
        <v>7.295006292338567E-2</v>
      </c>
      <c r="I27" s="53">
        <f t="shared" si="3"/>
        <v>6.5691067273072209E-2</v>
      </c>
      <c r="J27" s="53">
        <f t="shared" si="3"/>
        <v>-1.458066080908911E-2</v>
      </c>
      <c r="K27" s="53">
        <f t="shared" si="3"/>
        <v>5.5032540806718711E-2</v>
      </c>
      <c r="M27" s="53">
        <f>SMALL($C27:$K27,1)</f>
        <v>-1.458066080908911E-2</v>
      </c>
      <c r="N27" s="53">
        <f>LARGE($C27:$K27,1)</f>
        <v>7.295006292338567E-2</v>
      </c>
      <c r="AF27">
        <f t="shared" si="2"/>
        <v>4</v>
      </c>
    </row>
    <row r="28" spans="1:32" x14ac:dyDescent="0.25">
      <c r="AF28">
        <f t="shared" si="2"/>
        <v>5</v>
      </c>
    </row>
    <row r="29" spans="1:32" x14ac:dyDescent="0.25">
      <c r="AF29">
        <f t="shared" si="2"/>
        <v>6</v>
      </c>
    </row>
    <row r="30" spans="1:32" x14ac:dyDescent="0.25">
      <c r="AF30">
        <f t="shared" si="2"/>
        <v>7</v>
      </c>
    </row>
    <row r="31" spans="1:32" x14ac:dyDescent="0.25">
      <c r="AF31">
        <f t="shared" si="2"/>
        <v>8</v>
      </c>
    </row>
    <row r="32" spans="1:32" x14ac:dyDescent="0.25">
      <c r="AF32">
        <f t="shared" si="2"/>
        <v>9</v>
      </c>
    </row>
    <row r="33" spans="16:32" x14ac:dyDescent="0.25">
      <c r="AF33">
        <f t="shared" si="2"/>
        <v>10</v>
      </c>
    </row>
    <row r="34" spans="16:32" x14ac:dyDescent="0.25">
      <c r="AF34">
        <f t="shared" si="2"/>
        <v>11</v>
      </c>
    </row>
    <row r="35" spans="16:32" x14ac:dyDescent="0.25">
      <c r="AF35">
        <f t="shared" si="2"/>
        <v>12</v>
      </c>
    </row>
    <row r="36" spans="16:32" x14ac:dyDescent="0.25">
      <c r="AF36">
        <f t="shared" si="2"/>
        <v>13</v>
      </c>
    </row>
    <row r="37" spans="16:32" x14ac:dyDescent="0.25">
      <c r="AF37">
        <f t="shared" si="2"/>
        <v>14</v>
      </c>
    </row>
    <row r="38" spans="16:32" x14ac:dyDescent="0.25">
      <c r="AF38">
        <f t="shared" si="2"/>
        <v>15</v>
      </c>
    </row>
    <row r="39" spans="16:32" x14ac:dyDescent="0.25">
      <c r="AF39">
        <f t="shared" si="2"/>
        <v>16</v>
      </c>
    </row>
    <row r="40" spans="16:32" x14ac:dyDescent="0.25">
      <c r="AF40">
        <f t="shared" si="2"/>
        <v>17</v>
      </c>
    </row>
    <row r="41" spans="16:32" x14ac:dyDescent="0.25">
      <c r="AF41">
        <f t="shared" si="2"/>
        <v>18</v>
      </c>
    </row>
    <row r="42" spans="16:32" x14ac:dyDescent="0.25">
      <c r="AF42">
        <f t="shared" si="2"/>
        <v>19</v>
      </c>
    </row>
    <row r="43" spans="16:32" x14ac:dyDescent="0.25">
      <c r="AF43">
        <f t="shared" si="2"/>
        <v>20</v>
      </c>
    </row>
    <row r="45" spans="16:32" x14ac:dyDescent="0.25">
      <c r="P45">
        <v>1</v>
      </c>
      <c r="Q45">
        <f>P45+1</f>
        <v>2</v>
      </c>
      <c r="R45">
        <f t="shared" ref="R45:AD45" si="4">Q45+1</f>
        <v>3</v>
      </c>
      <c r="S45">
        <f t="shared" si="4"/>
        <v>4</v>
      </c>
      <c r="T45">
        <f t="shared" si="4"/>
        <v>5</v>
      </c>
      <c r="U45">
        <f t="shared" si="4"/>
        <v>6</v>
      </c>
      <c r="V45">
        <f t="shared" si="4"/>
        <v>7</v>
      </c>
      <c r="W45">
        <f t="shared" si="4"/>
        <v>8</v>
      </c>
      <c r="X45">
        <f t="shared" si="4"/>
        <v>9</v>
      </c>
      <c r="Y45">
        <f t="shared" si="4"/>
        <v>10</v>
      </c>
      <c r="Z45">
        <f t="shared" si="4"/>
        <v>11</v>
      </c>
      <c r="AA45">
        <f t="shared" si="4"/>
        <v>12</v>
      </c>
      <c r="AB45">
        <f t="shared" si="4"/>
        <v>13</v>
      </c>
      <c r="AC45">
        <f t="shared" si="4"/>
        <v>14</v>
      </c>
      <c r="AD45">
        <f t="shared" si="4"/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E50"/>
  <sheetViews>
    <sheetView topLeftCell="K16" zoomScaleNormal="100" workbookViewId="0">
      <selection activeCell="P45" sqref="P45:AD45"/>
    </sheetView>
  </sheetViews>
  <sheetFormatPr defaultRowHeight="15" x14ac:dyDescent="0.25"/>
  <cols>
    <col min="1" max="1" width="37.140625" customWidth="1"/>
    <col min="2" max="11" width="17.28515625" customWidth="1"/>
  </cols>
  <sheetData>
    <row r="4" spans="1:11" x14ac:dyDescent="0.25">
      <c r="B4" s="21" t="s">
        <v>467</v>
      </c>
      <c r="C4" s="21" t="s">
        <v>361</v>
      </c>
      <c r="D4" s="21">
        <v>2014</v>
      </c>
      <c r="E4" s="21">
        <v>2015</v>
      </c>
      <c r="F4" s="21" t="s">
        <v>362</v>
      </c>
      <c r="G4" s="21" t="s">
        <v>363</v>
      </c>
      <c r="H4" s="21" t="s">
        <v>364</v>
      </c>
      <c r="I4" s="21" t="s">
        <v>365</v>
      </c>
      <c r="J4" s="21" t="s">
        <v>366</v>
      </c>
      <c r="K4" s="21" t="s">
        <v>367</v>
      </c>
    </row>
    <row r="5" spans="1:11" x14ac:dyDescent="0.25">
      <c r="A5" t="s">
        <v>562</v>
      </c>
      <c r="B5" s="37">
        <f>Iochpe_Anual_e_2_Tri!B59</f>
        <v>1090910000</v>
      </c>
      <c r="C5" s="37">
        <f>Iochpe_Anual_e_2_Tri!C59</f>
        <v>1445160000</v>
      </c>
      <c r="D5" s="37">
        <f>Iochpe_Anual_e_2_Tri!D59</f>
        <v>1604503000</v>
      </c>
      <c r="E5" s="37">
        <f>Iochpe_Anual_e_2_Tri!E59</f>
        <v>2456490000</v>
      </c>
      <c r="F5" s="37">
        <f>Iochpe_Anual_e_2_Tri!F59</f>
        <v>2017077000</v>
      </c>
      <c r="G5" s="37">
        <f>Iochpe_Anual_e_2_Tri!G59</f>
        <v>2630505000</v>
      </c>
      <c r="H5" s="37">
        <f>Iochpe_Anual_e_2_Tri!H59</f>
        <v>3198527000</v>
      </c>
      <c r="I5" s="37">
        <f>Iochpe_Anual_e_2_Tri!I59</f>
        <v>3496976000</v>
      </c>
      <c r="J5" s="37">
        <f>Iochpe_Anual_e_2_Tri!J59</f>
        <v>3802761000</v>
      </c>
      <c r="K5" s="37">
        <f>Iochpe_Anual_e_2_Tri!K59</f>
        <v>3893193000</v>
      </c>
    </row>
    <row r="6" spans="1:11" x14ac:dyDescent="0.25">
      <c r="A6" t="s">
        <v>563</v>
      </c>
      <c r="B6" s="37">
        <f>Iochpe_Anual_e_2_Tri!B93</f>
        <v>66864000</v>
      </c>
      <c r="C6" s="37">
        <f>Iochpe_Anual_e_2_Tri!C93</f>
        <v>170329000</v>
      </c>
      <c r="D6" s="37">
        <f>Iochpe_Anual_e_2_Tri!D93</f>
        <v>67777000</v>
      </c>
      <c r="E6" s="37">
        <f>Iochpe_Anual_e_2_Tri!E93</f>
        <v>49366000</v>
      </c>
      <c r="F6" s="37">
        <f>Iochpe_Anual_e_2_Tri!F93</f>
        <v>21531000</v>
      </c>
      <c r="G6" s="37">
        <f>Iochpe_Anual_e_2_Tri!G93</f>
        <v>6403000</v>
      </c>
      <c r="H6" s="37">
        <f>Iochpe_Anual_e_2_Tri!H93</f>
        <v>201325000</v>
      </c>
      <c r="I6" s="37">
        <f>Iochpe_Anual_e_2_Tri!I93</f>
        <v>337435000</v>
      </c>
      <c r="J6" s="37">
        <f>Iochpe_Anual_e_2_Tri!J93</f>
        <v>-491780000</v>
      </c>
      <c r="K6" s="37">
        <f>Iochpe_Anual_e_2_Tri!K93</f>
        <v>117712000</v>
      </c>
    </row>
    <row r="7" spans="1:11" x14ac:dyDescent="0.25">
      <c r="A7" t="s">
        <v>564</v>
      </c>
      <c r="B7" s="37">
        <f>Iochpe_Anual_e_2_Tri!B92</f>
        <v>38842000</v>
      </c>
      <c r="C7" s="37">
        <f>Iochpe_Anual_e_2_Tri!C92</f>
        <v>40971000</v>
      </c>
      <c r="D7" s="37">
        <f>Iochpe_Anual_e_2_Tri!D92</f>
        <v>50255000</v>
      </c>
      <c r="E7" s="37">
        <f>Iochpe_Anual_e_2_Tri!E92</f>
        <v>70483000</v>
      </c>
      <c r="F7" s="37">
        <f>Iochpe_Anual_e_2_Tri!F92</f>
        <v>67599000</v>
      </c>
      <c r="G7" s="37">
        <f>Iochpe_Anual_e_2_Tri!G92</f>
        <v>73806000</v>
      </c>
      <c r="H7" s="37">
        <f>Iochpe_Anual_e_2_Tri!H92</f>
        <v>104817000</v>
      </c>
      <c r="I7" s="37">
        <f>Iochpe_Anual_e_2_Tri!I92</f>
        <v>83980000</v>
      </c>
      <c r="J7" s="37">
        <f>Iochpe_Anual_e_2_Tri!J92</f>
        <v>71866000</v>
      </c>
      <c r="K7" s="37">
        <f>Iochpe_Anual_e_2_Tri!K92</f>
        <v>96758000</v>
      </c>
    </row>
    <row r="8" spans="1:11" x14ac:dyDescent="0.25">
      <c r="A8" t="s">
        <v>565</v>
      </c>
      <c r="B8" s="37">
        <f>Iochpe_Anual_e_2_Tri!B32</f>
        <v>5785582000</v>
      </c>
      <c r="C8" s="37">
        <f>Iochpe_Anual_e_2_Tri!C32</f>
        <v>6035705000</v>
      </c>
      <c r="D8" s="37">
        <f>Iochpe_Anual_e_2_Tri!D32</f>
        <v>6289024000</v>
      </c>
      <c r="E8" s="37">
        <f>Iochpe_Anual_e_2_Tri!E32</f>
        <v>7990379000</v>
      </c>
      <c r="F8" s="37">
        <f>Iochpe_Anual_e_2_Tri!F32</f>
        <v>7057115000</v>
      </c>
      <c r="G8" s="37">
        <f>Iochpe_Anual_e_2_Tri!G32</f>
        <v>7922248000</v>
      </c>
      <c r="H8" s="37">
        <f>Iochpe_Anual_e_2_Tri!H32</f>
        <v>9019190000</v>
      </c>
      <c r="I8" s="37">
        <f>Iochpe_Anual_e_2_Tri!I32</f>
        <v>9375411000</v>
      </c>
      <c r="J8" s="37">
        <f>Iochpe_Anual_e_2_Tri!J32</f>
        <v>12411803000</v>
      </c>
      <c r="K8" s="37">
        <f>Iochpe_Anual_e_2_Tri!K32</f>
        <v>13203278000</v>
      </c>
    </row>
    <row r="9" spans="1:11" x14ac:dyDescent="0.25">
      <c r="A9" t="s">
        <v>567</v>
      </c>
      <c r="B9" s="37">
        <f>Iochpe_Anual_e_2_Tri!B80</f>
        <v>278510000</v>
      </c>
      <c r="C9" s="37">
        <f>Iochpe_Anual_e_2_Tri!C80</f>
        <v>453559000</v>
      </c>
      <c r="D9" s="37">
        <f>Iochpe_Anual_e_2_Tri!D80</f>
        <v>417703000</v>
      </c>
      <c r="E9" s="37">
        <f>Iochpe_Anual_e_2_Tri!E80</f>
        <v>449602000</v>
      </c>
      <c r="F9" s="37">
        <f>Iochpe_Anual_e_2_Tri!F80</f>
        <v>479322000</v>
      </c>
      <c r="G9" s="37">
        <f>Iochpe_Anual_e_2_Tri!G80</f>
        <v>496556000</v>
      </c>
      <c r="H9" s="37">
        <f>Iochpe_Anual_e_2_Tri!H80</f>
        <v>701493000</v>
      </c>
      <c r="I9" s="37">
        <f>Iochpe_Anual_e_2_Tri!I80</f>
        <v>676255000</v>
      </c>
      <c r="J9" s="37">
        <f>Iochpe_Anual_e_2_Tri!J80</f>
        <v>-184721000</v>
      </c>
      <c r="K9" s="37">
        <f>Iochpe_Anual_e_2_Tri!K80</f>
        <v>739189000</v>
      </c>
    </row>
    <row r="10" spans="1:11" x14ac:dyDescent="0.25">
      <c r="A10" t="s">
        <v>566</v>
      </c>
      <c r="B10" s="37">
        <f>(1-0.34)*B9</f>
        <v>183816599.99999997</v>
      </c>
      <c r="C10" s="37">
        <f t="shared" ref="C10:K10" si="0">(1-0.34)*C9</f>
        <v>299348939.99999994</v>
      </c>
      <c r="D10" s="37">
        <f t="shared" si="0"/>
        <v>275683979.99999994</v>
      </c>
      <c r="E10" s="37">
        <f t="shared" si="0"/>
        <v>296737319.99999994</v>
      </c>
      <c r="F10" s="37">
        <f t="shared" si="0"/>
        <v>316352519.99999994</v>
      </c>
      <c r="G10" s="37">
        <f t="shared" si="0"/>
        <v>327726959.99999994</v>
      </c>
      <c r="H10" s="37">
        <f t="shared" si="0"/>
        <v>462985379.99999994</v>
      </c>
      <c r="I10" s="37">
        <f t="shared" si="0"/>
        <v>446328299.99999994</v>
      </c>
      <c r="J10" s="37">
        <f t="shared" si="0"/>
        <v>-121915859.99999999</v>
      </c>
      <c r="K10" s="37">
        <f t="shared" si="0"/>
        <v>487864739.99999994</v>
      </c>
    </row>
    <row r="11" spans="1:11" x14ac:dyDescent="0.25">
      <c r="A11" t="s">
        <v>569</v>
      </c>
      <c r="B11" s="37">
        <f>Iochpe_Anual_e_2_Tri!B50+Iochpe_Anual_e_2_Tri!B55</f>
        <v>3000905000</v>
      </c>
      <c r="C11" s="37">
        <f>Iochpe_Anual_e_2_Tri!C50+Iochpe_Anual_e_2_Tri!C55</f>
        <v>2773484000</v>
      </c>
      <c r="D11" s="37">
        <f>Iochpe_Anual_e_2_Tri!D50+Iochpe_Anual_e_2_Tri!D55</f>
        <v>2892406000</v>
      </c>
      <c r="E11" s="37">
        <f>Iochpe_Anual_e_2_Tri!E50+Iochpe_Anual_e_2_Tri!E55</f>
        <v>3414855000</v>
      </c>
      <c r="F11" s="37">
        <f>Iochpe_Anual_e_2_Tri!F50+Iochpe_Anual_e_2_Tri!F55</f>
        <v>3060085000</v>
      </c>
      <c r="G11" s="37">
        <f>Iochpe_Anual_e_2_Tri!G50+Iochpe_Anual_e_2_Tri!G55</f>
        <v>2843276000</v>
      </c>
      <c r="H11" s="37">
        <f>Iochpe_Anual_e_2_Tri!H50+Iochpe_Anual_e_2_Tri!H55</f>
        <v>2813705000</v>
      </c>
      <c r="I11" s="37">
        <f>Iochpe_Anual_e_2_Tri!I50+Iochpe_Anual_e_2_Tri!I55</f>
        <v>3061583000</v>
      </c>
      <c r="J11" s="37">
        <f>Iochpe_Anual_e_2_Tri!J50+Iochpe_Anual_e_2_Tri!J55</f>
        <v>5120389000</v>
      </c>
      <c r="K11" s="37">
        <f>Iochpe_Anual_e_2_Tri!K50+Iochpe_Anual_e_2_Tri!K55</f>
        <v>5373144000</v>
      </c>
    </row>
    <row r="12" spans="1:11" x14ac:dyDescent="0.25">
      <c r="A12" t="s">
        <v>568</v>
      </c>
      <c r="B12" s="37">
        <f>B8-B14+B15-B13</f>
        <v>4283469000</v>
      </c>
      <c r="C12" s="37">
        <f>C8-C14+C15-C13</f>
        <v>4251627000</v>
      </c>
      <c r="D12" s="37">
        <f>D8-D14+D15-D13</f>
        <v>4405187000</v>
      </c>
      <c r="E12" s="37">
        <f>E8-E14+E15-E13</f>
        <v>5847076000</v>
      </c>
      <c r="F12" s="37">
        <f>F8-F14+F15-F13</f>
        <v>5286605000</v>
      </c>
      <c r="G12" s="37">
        <f>G8-G14+G15-G13</f>
        <v>5670607000</v>
      </c>
      <c r="H12" s="37">
        <f>H8-H14+H15-H13</f>
        <v>6346607000</v>
      </c>
      <c r="I12" s="37">
        <f>I8-I14+I15-I13</f>
        <v>6794353000</v>
      </c>
      <c r="J12" s="37">
        <f>J8-J14+J15-J13</f>
        <v>8361477000</v>
      </c>
      <c r="K12" s="37">
        <f>K8-K14+K15-K13</f>
        <v>8865023000</v>
      </c>
    </row>
    <row r="13" spans="1:11" x14ac:dyDescent="0.25">
      <c r="A13" t="s">
        <v>570</v>
      </c>
      <c r="B13" s="37">
        <f>Iochpe_Anual_e_2_Tri!B23</f>
        <v>506500000</v>
      </c>
      <c r="C13" s="37">
        <f>Iochpe_Anual_e_2_Tri!C23</f>
        <v>662230000</v>
      </c>
      <c r="D13" s="37">
        <f>Iochpe_Anual_e_2_Tri!D23</f>
        <v>717079000</v>
      </c>
      <c r="E13" s="37">
        <f>Iochpe_Anual_e_2_Tri!E23</f>
        <v>739255000</v>
      </c>
      <c r="F13" s="37">
        <f>Iochpe_Anual_e_2_Tri!F23</f>
        <v>431599000</v>
      </c>
      <c r="G13" s="37">
        <f>Iochpe_Anual_e_2_Tri!G23</f>
        <v>543331000</v>
      </c>
      <c r="H13" s="37">
        <f>Iochpe_Anual_e_2_Tri!H23</f>
        <v>486903000</v>
      </c>
      <c r="I13" s="37">
        <f>Iochpe_Anual_e_2_Tri!I23</f>
        <v>646137000</v>
      </c>
      <c r="J13" s="37">
        <f>Iochpe_Anual_e_2_Tri!J23</f>
        <v>1605439000</v>
      </c>
      <c r="K13" s="37">
        <f>Iochpe_Anual_e_2_Tri!K23</f>
        <v>1355258000</v>
      </c>
    </row>
    <row r="14" spans="1:11" x14ac:dyDescent="0.25">
      <c r="A14" t="s">
        <v>571</v>
      </c>
      <c r="B14" s="37">
        <f>Iochpe_Anual_e_2_Tri!B48</f>
        <v>1808742000</v>
      </c>
      <c r="C14" s="37">
        <f>Iochpe_Anual_e_2_Tri!C48</f>
        <v>1834151000</v>
      </c>
      <c r="D14" s="37">
        <f>Iochpe_Anual_e_2_Tri!D48</f>
        <v>2237802000</v>
      </c>
      <c r="E14" s="37">
        <f>Iochpe_Anual_e_2_Tri!E48</f>
        <v>3088750000</v>
      </c>
      <c r="F14" s="37">
        <f>Iochpe_Anual_e_2_Tri!F48</f>
        <v>2521719000</v>
      </c>
      <c r="G14" s="37">
        <f>Iochpe_Anual_e_2_Tri!G48</f>
        <v>3060854000</v>
      </c>
      <c r="H14" s="37">
        <f>Iochpe_Anual_e_2_Tri!H48</f>
        <v>3261829000</v>
      </c>
      <c r="I14" s="37">
        <f>Iochpe_Anual_e_2_Tri!I48</f>
        <v>2583618000</v>
      </c>
      <c r="J14" s="37">
        <f>Iochpe_Anual_e_2_Tri!J48</f>
        <v>4352451000</v>
      </c>
      <c r="K14" s="37">
        <f>Iochpe_Anual_e_2_Tri!K48</f>
        <v>4781777000</v>
      </c>
    </row>
    <row r="15" spans="1:11" x14ac:dyDescent="0.25">
      <c r="A15" t="s">
        <v>572</v>
      </c>
      <c r="B15" s="37">
        <f>Iochpe_Anual_e_2_Tri!B50</f>
        <v>813129000</v>
      </c>
      <c r="C15" s="37">
        <f>Iochpe_Anual_e_2_Tri!C50</f>
        <v>712303000</v>
      </c>
      <c r="D15" s="37">
        <f>Iochpe_Anual_e_2_Tri!D50</f>
        <v>1071044000</v>
      </c>
      <c r="E15" s="37">
        <f>Iochpe_Anual_e_2_Tri!E50</f>
        <v>1684702000</v>
      </c>
      <c r="F15" s="37">
        <f>Iochpe_Anual_e_2_Tri!F50</f>
        <v>1182808000</v>
      </c>
      <c r="G15" s="37">
        <f>Iochpe_Anual_e_2_Tri!G50</f>
        <v>1352544000</v>
      </c>
      <c r="H15" s="37">
        <f>Iochpe_Anual_e_2_Tri!H50</f>
        <v>1076149000</v>
      </c>
      <c r="I15" s="37">
        <f>Iochpe_Anual_e_2_Tri!I50</f>
        <v>648697000</v>
      </c>
      <c r="J15" s="37">
        <f>Iochpe_Anual_e_2_Tri!J50</f>
        <v>1907564000</v>
      </c>
      <c r="K15" s="37">
        <f>Iochpe_Anual_e_2_Tri!K50</f>
        <v>1798780000</v>
      </c>
    </row>
    <row r="16" spans="1:11" x14ac:dyDescent="0.25">
      <c r="A16" t="s">
        <v>598</v>
      </c>
      <c r="B16" s="44">
        <f>Iochpe_Anual_e_2_Tri!B72</f>
        <v>5122210000</v>
      </c>
      <c r="C16" s="44">
        <f>Iochpe_Anual_e_2_Tri!C72</f>
        <v>5267393000</v>
      </c>
      <c r="D16" s="44">
        <f>Iochpe_Anual_e_2_Tri!D72</f>
        <v>5094348000</v>
      </c>
      <c r="E16" s="44">
        <f>Iochpe_Anual_e_2_Tri!E72</f>
        <v>5954428000</v>
      </c>
      <c r="F16" s="44">
        <f>Iochpe_Anual_e_2_Tri!F72</f>
        <v>5844666000</v>
      </c>
      <c r="G16" s="44">
        <f>Iochpe_Anual_e_2_Tri!G72</f>
        <v>6332962000</v>
      </c>
      <c r="H16" s="44">
        <f>Iochpe_Anual_e_2_Tri!H72</f>
        <v>8298023000</v>
      </c>
      <c r="I16" s="44">
        <f>Iochpe_Anual_e_2_Tri!I72</f>
        <v>8831177000</v>
      </c>
      <c r="J16" s="44">
        <f>Iochpe_Anual_e_2_Tri!J72</f>
        <v>8195255000</v>
      </c>
      <c r="K16" s="44">
        <f>Iochpe_Anual_e_2_Tri!K72</f>
        <v>10333416000</v>
      </c>
    </row>
    <row r="17" spans="1:31" x14ac:dyDescent="0.25">
      <c r="A17" t="s">
        <v>599</v>
      </c>
      <c r="B17" s="44">
        <f>Iochpe_Anual_e_2_Tri!B37</f>
        <v>703903000</v>
      </c>
      <c r="C17" s="44">
        <f>Iochpe_Anual_e_2_Tri!C37</f>
        <v>639060000</v>
      </c>
      <c r="D17" s="44">
        <f>Iochpe_Anual_e_2_Tri!D37</f>
        <v>678188000</v>
      </c>
      <c r="E17" s="44">
        <f>Iochpe_Anual_e_2_Tri!E37</f>
        <v>854665000</v>
      </c>
      <c r="F17" s="44">
        <f>Iochpe_Anual_e_2_Tri!F37</f>
        <v>865029000</v>
      </c>
      <c r="G17" s="44">
        <f>Iochpe_Anual_e_2_Tri!G37</f>
        <v>1191445000</v>
      </c>
      <c r="H17" s="44">
        <f>Iochpe_Anual_e_2_Tri!H37</f>
        <v>1448021000</v>
      </c>
      <c r="I17" s="44">
        <f>Iochpe_Anual_e_2_Tri!I37</f>
        <v>1328470000</v>
      </c>
      <c r="J17" s="44">
        <f>Iochpe_Anual_e_2_Tri!J37</f>
        <v>1748497000</v>
      </c>
      <c r="K17" s="44">
        <f>Iochpe_Anual_e_2_Tri!K37</f>
        <v>2474865000</v>
      </c>
    </row>
    <row r="18" spans="1:31" x14ac:dyDescent="0.25">
      <c r="A18" t="s">
        <v>600</v>
      </c>
      <c r="B18" s="44">
        <f>Iochpe_Anual_e_2_Tri!B36</f>
        <v>759724000</v>
      </c>
      <c r="C18" s="44">
        <f>Iochpe_Anual_e_2_Tri!C36</f>
        <v>747813000</v>
      </c>
      <c r="D18" s="44">
        <f>Iochpe_Anual_e_2_Tri!D36</f>
        <v>720663000</v>
      </c>
      <c r="E18" s="44">
        <f>Iochpe_Anual_e_2_Tri!E36</f>
        <v>865496000</v>
      </c>
      <c r="F18" s="44">
        <f>Iochpe_Anual_e_2_Tri!F36</f>
        <v>835158000</v>
      </c>
      <c r="G18" s="44">
        <f>Iochpe_Anual_e_2_Tri!G36</f>
        <v>1064916000</v>
      </c>
      <c r="H18" s="44">
        <f>Iochpe_Anual_e_2_Tri!H36</f>
        <v>1253826000</v>
      </c>
      <c r="I18" s="44">
        <f>Iochpe_Anual_e_2_Tri!I36</f>
        <v>1029650000</v>
      </c>
      <c r="J18" s="44">
        <f>Iochpe_Anual_e_2_Tri!J36</f>
        <v>1405954000</v>
      </c>
      <c r="K18" s="44">
        <f>Iochpe_Anual_e_2_Tri!K36</f>
        <v>1749006000</v>
      </c>
    </row>
    <row r="19" spans="1:31" x14ac:dyDescent="0.25">
      <c r="A19" t="s">
        <v>601</v>
      </c>
      <c r="B19" s="44">
        <f>Iochpe_Anual_e_2_Tri!B71</f>
        <v>5698513000</v>
      </c>
      <c r="C19" s="44">
        <f>Iochpe_Anual_e_2_Tri!C71</f>
        <v>6126493000</v>
      </c>
      <c r="D19" s="44">
        <f>Iochpe_Anual_e_2_Tri!D71</f>
        <v>5911677000</v>
      </c>
      <c r="E19" s="44">
        <f>Iochpe_Anual_e_2_Tri!E71</f>
        <v>6846456000</v>
      </c>
      <c r="F19" s="44">
        <f>Iochpe_Anual_e_2_Tri!F71</f>
        <v>6816454000</v>
      </c>
      <c r="G19" s="44">
        <f>Iochpe_Anual_e_2_Tri!G71</f>
        <v>7487940000</v>
      </c>
      <c r="H19" s="44">
        <f>Iochpe_Anual_e_2_Tri!H71</f>
        <v>9616299000</v>
      </c>
      <c r="I19" s="44">
        <f>Iochpe_Anual_e_2_Tri!I71</f>
        <v>10016395000</v>
      </c>
      <c r="J19" s="44">
        <f>Iochpe_Anual_e_2_Tri!J71</f>
        <v>8760568000</v>
      </c>
      <c r="K19" s="44">
        <f>Iochpe_Anual_e_2_Tri!K71</f>
        <v>11681143000</v>
      </c>
    </row>
    <row r="20" spans="1:31" x14ac:dyDescent="0.25">
      <c r="A20" t="s">
        <v>590</v>
      </c>
      <c r="B20" s="44">
        <f>Iochpe_Anual_e_2_Tri!B49</f>
        <v>598033000</v>
      </c>
      <c r="C20" s="44">
        <f>Iochpe_Anual_e_2_Tri!C49</f>
        <v>630470000</v>
      </c>
      <c r="D20" s="44">
        <f>Iochpe_Anual_e_2_Tri!D49</f>
        <v>818663000</v>
      </c>
      <c r="E20" s="44">
        <f>Iochpe_Anual_e_2_Tri!E49</f>
        <v>936491000</v>
      </c>
      <c r="F20" s="44">
        <f>Iochpe_Anual_e_2_Tri!F49</f>
        <v>856084000</v>
      </c>
      <c r="G20" s="44">
        <f>Iochpe_Anual_e_2_Tri!G49</f>
        <v>1056299000</v>
      </c>
      <c r="H20" s="44">
        <f>Iochpe_Anual_e_2_Tri!H49</f>
        <v>1316903000</v>
      </c>
      <c r="I20" s="44">
        <f>Iochpe_Anual_e_2_Tri!I49</f>
        <v>1126821000</v>
      </c>
      <c r="J20" s="44">
        <f>Iochpe_Anual_e_2_Tri!J49</f>
        <v>1463594000</v>
      </c>
      <c r="K20" s="44">
        <f>Iochpe_Anual_e_2_Tri!K49</f>
        <v>1700511000</v>
      </c>
    </row>
    <row r="21" spans="1:31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4" spans="1:31" x14ac:dyDescent="0.25">
      <c r="B24" s="21" t="s">
        <v>467</v>
      </c>
      <c r="C24" s="21" t="s">
        <v>361</v>
      </c>
      <c r="D24" s="21">
        <v>2014</v>
      </c>
      <c r="E24" s="21">
        <v>2015</v>
      </c>
      <c r="F24" s="21" t="s">
        <v>362</v>
      </c>
      <c r="G24" s="21" t="s">
        <v>363</v>
      </c>
      <c r="H24" s="21" t="s">
        <v>364</v>
      </c>
      <c r="I24" s="21" t="s">
        <v>365</v>
      </c>
      <c r="J24" s="21" t="s">
        <v>366</v>
      </c>
      <c r="K24" s="21" t="s">
        <v>367</v>
      </c>
      <c r="M24" s="55" t="s">
        <v>573</v>
      </c>
      <c r="N24" s="55" t="s">
        <v>574</v>
      </c>
      <c r="AE24">
        <v>1</v>
      </c>
    </row>
    <row r="25" spans="1:31" x14ac:dyDescent="0.25">
      <c r="A25" t="s">
        <v>575</v>
      </c>
      <c r="B25" s="58">
        <f>B18*360/B19</f>
        <v>47.995089245211865</v>
      </c>
      <c r="C25" s="58">
        <f t="shared" ref="C25:K25" si="1">C18*360/C19</f>
        <v>43.942379433062278</v>
      </c>
      <c r="D25" s="58">
        <f t="shared" si="1"/>
        <v>43.885800932628761</v>
      </c>
      <c r="E25" s="58">
        <f t="shared" si="1"/>
        <v>45.509466503545774</v>
      </c>
      <c r="F25" s="58">
        <f t="shared" si="1"/>
        <v>44.107519833626107</v>
      </c>
      <c r="G25" s="58">
        <f t="shared" si="1"/>
        <v>51.198294858131874</v>
      </c>
      <c r="H25" s="58">
        <f t="shared" si="1"/>
        <v>46.93878174961074</v>
      </c>
      <c r="I25" s="58">
        <f t="shared" si="1"/>
        <v>37.00672747031242</v>
      </c>
      <c r="J25" s="58">
        <f t="shared" si="1"/>
        <v>57.775185353278466</v>
      </c>
      <c r="K25" s="58">
        <f t="shared" si="1"/>
        <v>53.902444307033996</v>
      </c>
      <c r="M25" s="58">
        <f>SMALL($C25:$K25,1)</f>
        <v>37.00672747031242</v>
      </c>
      <c r="N25" s="58">
        <f>LARGE($C25:$K25,1)</f>
        <v>57.775185353278466</v>
      </c>
      <c r="AE25">
        <f>AE24+1</f>
        <v>2</v>
      </c>
    </row>
    <row r="26" spans="1:31" x14ac:dyDescent="0.25">
      <c r="A26" t="s">
        <v>576</v>
      </c>
      <c r="B26" s="58">
        <f>B17*360/B16</f>
        <v>49.471825637761825</v>
      </c>
      <c r="C26" s="58">
        <f t="shared" ref="C26:K26" si="2">C17*360/C16</f>
        <v>43.676558783443724</v>
      </c>
      <c r="D26" s="58">
        <f t="shared" si="2"/>
        <v>47.925206522993719</v>
      </c>
      <c r="E26" s="58">
        <f t="shared" si="2"/>
        <v>51.672368865657624</v>
      </c>
      <c r="F26" s="58">
        <f t="shared" si="2"/>
        <v>53.281135312094825</v>
      </c>
      <c r="G26" s="58">
        <f t="shared" si="2"/>
        <v>67.728213117337518</v>
      </c>
      <c r="H26" s="58">
        <f t="shared" si="2"/>
        <v>62.82069355556137</v>
      </c>
      <c r="I26" s="58">
        <f t="shared" si="2"/>
        <v>54.154638730488585</v>
      </c>
      <c r="J26" s="58">
        <f t="shared" si="2"/>
        <v>76.807728374528921</v>
      </c>
      <c r="K26" s="58">
        <f t="shared" si="2"/>
        <v>86.220413462498755</v>
      </c>
      <c r="M26" s="58">
        <f>SMALL($C26:$K26,1)</f>
        <v>43.676558783443724</v>
      </c>
      <c r="N26" s="58">
        <f>LARGE($C26:$K26,1)</f>
        <v>86.220413462498755</v>
      </c>
      <c r="AE26">
        <f t="shared" ref="AE26:AE43" si="3">AE25+1</f>
        <v>3</v>
      </c>
    </row>
    <row r="27" spans="1:31" x14ac:dyDescent="0.25">
      <c r="A27" t="s">
        <v>577</v>
      </c>
      <c r="B27" s="58">
        <f>B20*360/B16</f>
        <v>42.031053002512586</v>
      </c>
      <c r="C27" s="58">
        <f t="shared" ref="C27:K27" si="4">C20*360/C16</f>
        <v>43.089475191997252</v>
      </c>
      <c r="D27" s="58">
        <f t="shared" si="4"/>
        <v>57.852090198785007</v>
      </c>
      <c r="E27" s="58">
        <f t="shared" si="4"/>
        <v>56.619504006094289</v>
      </c>
      <c r="F27" s="58">
        <f t="shared" si="4"/>
        <v>52.730171407570595</v>
      </c>
      <c r="G27" s="58">
        <f t="shared" si="4"/>
        <v>60.045779526231172</v>
      </c>
      <c r="H27" s="58">
        <f t="shared" si="4"/>
        <v>57.132292836498522</v>
      </c>
      <c r="I27" s="58">
        <f t="shared" si="4"/>
        <v>45.934484157660975</v>
      </c>
      <c r="J27" s="58">
        <f t="shared" si="4"/>
        <v>64.292549774229116</v>
      </c>
      <c r="K27" s="58">
        <f t="shared" si="4"/>
        <v>59.243135087177365</v>
      </c>
      <c r="M27" s="58">
        <f>SMALL($C27:$K27,1)</f>
        <v>43.089475191997252</v>
      </c>
      <c r="N27" s="58">
        <f>LARGE($C27:$K27,1)</f>
        <v>64.292549774229116</v>
      </c>
      <c r="AE27">
        <f t="shared" si="3"/>
        <v>4</v>
      </c>
    </row>
    <row r="28" spans="1:31" x14ac:dyDescent="0.25">
      <c r="A28" t="s">
        <v>578</v>
      </c>
      <c r="B28" s="35">
        <f>B26+B25-B27</f>
        <v>55.435861880461111</v>
      </c>
      <c r="C28" s="35">
        <f t="shared" ref="C28:K28" si="5">C26+C25-C27</f>
        <v>44.529463024508743</v>
      </c>
      <c r="D28" s="35">
        <f t="shared" si="5"/>
        <v>33.958917256837466</v>
      </c>
      <c r="E28" s="35">
        <f t="shared" si="5"/>
        <v>40.562331363109109</v>
      </c>
      <c r="F28" s="35">
        <f t="shared" si="5"/>
        <v>44.658483738150338</v>
      </c>
      <c r="G28" s="35">
        <f t="shared" si="5"/>
        <v>58.880728449238219</v>
      </c>
      <c r="H28" s="35">
        <f t="shared" si="5"/>
        <v>52.627182468673595</v>
      </c>
      <c r="I28" s="35">
        <f t="shared" si="5"/>
        <v>45.226882043140037</v>
      </c>
      <c r="J28" s="35">
        <f t="shared" si="5"/>
        <v>70.290363953578264</v>
      </c>
      <c r="K28" s="35">
        <f t="shared" si="5"/>
        <v>80.879722682355379</v>
      </c>
      <c r="M28" s="58">
        <f>SMALL($C28:$K28,1)</f>
        <v>33.958917256837466</v>
      </c>
      <c r="N28" s="58">
        <f>LARGE($C28:$K28,1)</f>
        <v>80.879722682355379</v>
      </c>
      <c r="AE28">
        <f t="shared" si="3"/>
        <v>5</v>
      </c>
    </row>
    <row r="29" spans="1:31" x14ac:dyDescent="0.25">
      <c r="A29" t="s">
        <v>581</v>
      </c>
      <c r="B29" s="35">
        <f>B26+B25</f>
        <v>97.466914882973697</v>
      </c>
      <c r="C29" s="35">
        <f t="shared" ref="C29:K29" si="6">C26+C25</f>
        <v>87.618938216505995</v>
      </c>
      <c r="D29" s="35">
        <f t="shared" si="6"/>
        <v>91.811007455622473</v>
      </c>
      <c r="E29" s="35">
        <f t="shared" si="6"/>
        <v>97.181835369203398</v>
      </c>
      <c r="F29" s="35">
        <f t="shared" si="6"/>
        <v>97.388655145720932</v>
      </c>
      <c r="G29" s="35">
        <f t="shared" si="6"/>
        <v>118.92650797546939</v>
      </c>
      <c r="H29" s="35">
        <f t="shared" si="6"/>
        <v>109.75947530517212</v>
      </c>
      <c r="I29" s="35">
        <f t="shared" si="6"/>
        <v>91.161366200801012</v>
      </c>
      <c r="J29" s="35">
        <f t="shared" si="6"/>
        <v>134.58291372780738</v>
      </c>
      <c r="K29" s="35">
        <f t="shared" si="6"/>
        <v>140.12285776953274</v>
      </c>
      <c r="M29" s="58">
        <f>SMALL($C29:$K29,1)</f>
        <v>87.618938216505995</v>
      </c>
      <c r="N29" s="58">
        <f>LARGE($C29:$K29,1)</f>
        <v>140.12285776953274</v>
      </c>
      <c r="AE29">
        <f t="shared" si="3"/>
        <v>6</v>
      </c>
    </row>
    <row r="30" spans="1:31" x14ac:dyDescent="0.25">
      <c r="AE30">
        <f t="shared" si="3"/>
        <v>7</v>
      </c>
    </row>
    <row r="31" spans="1:31" x14ac:dyDescent="0.25">
      <c r="M31" s="58">
        <f>SMALL(M25:M29, 1)</f>
        <v>33.958917256837466</v>
      </c>
      <c r="N31" s="58">
        <f>LARGE(N25:N29, 1)</f>
        <v>140.12285776953274</v>
      </c>
      <c r="AE31">
        <f t="shared" si="3"/>
        <v>8</v>
      </c>
    </row>
    <row r="32" spans="1:31" x14ac:dyDescent="0.25">
      <c r="AE32">
        <f t="shared" si="3"/>
        <v>9</v>
      </c>
    </row>
    <row r="33" spans="1:31" x14ac:dyDescent="0.25">
      <c r="A33" t="s">
        <v>579</v>
      </c>
      <c r="B33" t="s">
        <v>580</v>
      </c>
      <c r="C33" t="s">
        <v>581</v>
      </c>
      <c r="AE33">
        <f t="shared" si="3"/>
        <v>10</v>
      </c>
    </row>
    <row r="34" spans="1:31" x14ac:dyDescent="0.25">
      <c r="B34" t="s">
        <v>582</v>
      </c>
      <c r="C34" t="s">
        <v>583</v>
      </c>
      <c r="AE34">
        <f t="shared" si="3"/>
        <v>11</v>
      </c>
    </row>
    <row r="35" spans="1:31" x14ac:dyDescent="0.25">
      <c r="B35" t="s">
        <v>584</v>
      </c>
      <c r="C35" t="s">
        <v>585</v>
      </c>
      <c r="AE35">
        <f t="shared" si="3"/>
        <v>12</v>
      </c>
    </row>
    <row r="36" spans="1:31" x14ac:dyDescent="0.25">
      <c r="B36" t="s">
        <v>593</v>
      </c>
      <c r="C36" t="s">
        <v>594</v>
      </c>
      <c r="AE36">
        <f t="shared" si="3"/>
        <v>13</v>
      </c>
    </row>
    <row r="37" spans="1:31" x14ac:dyDescent="0.25">
      <c r="AE37">
        <f t="shared" si="3"/>
        <v>14</v>
      </c>
    </row>
    <row r="38" spans="1:31" x14ac:dyDescent="0.25">
      <c r="C38" s="56" t="s">
        <v>586</v>
      </c>
      <c r="D38" s="56"/>
      <c r="E38" s="56"/>
      <c r="F38" s="56" t="s">
        <v>587</v>
      </c>
      <c r="G38" s="56"/>
      <c r="H38" s="56"/>
      <c r="I38" s="56"/>
      <c r="AE38">
        <f t="shared" si="3"/>
        <v>15</v>
      </c>
    </row>
    <row r="39" spans="1:31" x14ac:dyDescent="0.25">
      <c r="C39" s="57" t="s">
        <v>588</v>
      </c>
      <c r="D39" s="57"/>
      <c r="E39" s="57"/>
      <c r="F39" s="57"/>
      <c r="G39" s="57" t="s">
        <v>589</v>
      </c>
      <c r="H39" s="57"/>
      <c r="I39" s="57"/>
      <c r="AE39">
        <f t="shared" si="3"/>
        <v>16</v>
      </c>
    </row>
    <row r="40" spans="1:31" x14ac:dyDescent="0.25">
      <c r="C40" s="56" t="s">
        <v>581</v>
      </c>
      <c r="D40" s="56"/>
      <c r="E40" s="56"/>
      <c r="F40" s="56"/>
      <c r="G40" s="56"/>
      <c r="H40" s="56"/>
      <c r="I40" s="56"/>
      <c r="AE40">
        <f t="shared" si="3"/>
        <v>17</v>
      </c>
    </row>
    <row r="41" spans="1:31" x14ac:dyDescent="0.25">
      <c r="AE41">
        <f t="shared" si="3"/>
        <v>18</v>
      </c>
    </row>
    <row r="42" spans="1:31" x14ac:dyDescent="0.25">
      <c r="AE42">
        <f t="shared" si="3"/>
        <v>19</v>
      </c>
    </row>
    <row r="43" spans="1:31" x14ac:dyDescent="0.25">
      <c r="AE43">
        <f t="shared" si="3"/>
        <v>20</v>
      </c>
    </row>
    <row r="44" spans="1:31" x14ac:dyDescent="0.25">
      <c r="A44" t="s">
        <v>591</v>
      </c>
    </row>
    <row r="45" spans="1:31" x14ac:dyDescent="0.25">
      <c r="A45" t="s">
        <v>592</v>
      </c>
      <c r="P45">
        <v>1</v>
      </c>
      <c r="Q45">
        <f>P45+1</f>
        <v>2</v>
      </c>
      <c r="R45">
        <f t="shared" ref="R45:AD45" si="7">Q45+1</f>
        <v>3</v>
      </c>
      <c r="S45">
        <f t="shared" si="7"/>
        <v>4</v>
      </c>
      <c r="T45">
        <f t="shared" si="7"/>
        <v>5</v>
      </c>
      <c r="U45">
        <f t="shared" si="7"/>
        <v>6</v>
      </c>
      <c r="V45">
        <f t="shared" si="7"/>
        <v>7</v>
      </c>
      <c r="W45">
        <f t="shared" si="7"/>
        <v>8</v>
      </c>
      <c r="X45">
        <f t="shared" si="7"/>
        <v>9</v>
      </c>
      <c r="Y45">
        <f t="shared" si="7"/>
        <v>10</v>
      </c>
      <c r="Z45">
        <f t="shared" si="7"/>
        <v>11</v>
      </c>
      <c r="AA45">
        <f t="shared" si="7"/>
        <v>12</v>
      </c>
      <c r="AB45">
        <f t="shared" si="7"/>
        <v>13</v>
      </c>
      <c r="AC45">
        <f t="shared" si="7"/>
        <v>14</v>
      </c>
      <c r="AD45">
        <f t="shared" si="7"/>
        <v>15</v>
      </c>
    </row>
    <row r="46" spans="1:31" x14ac:dyDescent="0.25">
      <c r="B46" t="s">
        <v>595</v>
      </c>
    </row>
    <row r="48" spans="1:31" x14ac:dyDescent="0.25">
      <c r="B48" t="s">
        <v>596</v>
      </c>
    </row>
    <row r="50" spans="2:2" x14ac:dyDescent="0.25">
      <c r="B50" t="s">
        <v>597</v>
      </c>
    </row>
  </sheetData>
  <mergeCells count="5">
    <mergeCell ref="C38:E38"/>
    <mergeCell ref="F38:I38"/>
    <mergeCell ref="C39:F39"/>
    <mergeCell ref="G39:I39"/>
    <mergeCell ref="C40:I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F50"/>
  <sheetViews>
    <sheetView tabSelected="1" topLeftCell="A7" zoomScaleNormal="100" workbookViewId="0">
      <selection activeCell="K29" sqref="K29"/>
    </sheetView>
  </sheetViews>
  <sheetFormatPr defaultRowHeight="15" x14ac:dyDescent="0.25"/>
  <cols>
    <col min="1" max="1" width="37.140625" customWidth="1"/>
    <col min="2" max="11" width="17.28515625" customWidth="1"/>
    <col min="13" max="14" width="14.7109375" customWidth="1"/>
  </cols>
  <sheetData>
    <row r="4" spans="1:32" x14ac:dyDescent="0.25">
      <c r="B4" s="21" t="s">
        <v>467</v>
      </c>
      <c r="C4" s="21" t="s">
        <v>361</v>
      </c>
      <c r="D4" s="21">
        <v>2014</v>
      </c>
      <c r="E4" s="21">
        <v>2015</v>
      </c>
      <c r="F4" s="21" t="s">
        <v>362</v>
      </c>
      <c r="G4" s="21" t="s">
        <v>363</v>
      </c>
      <c r="H4" s="21" t="s">
        <v>364</v>
      </c>
      <c r="I4" s="21" t="s">
        <v>365</v>
      </c>
      <c r="J4" s="21" t="s">
        <v>366</v>
      </c>
      <c r="K4" s="21" t="s">
        <v>367</v>
      </c>
      <c r="AF4">
        <v>1</v>
      </c>
    </row>
    <row r="5" spans="1:32" x14ac:dyDescent="0.25">
      <c r="A5" t="s">
        <v>369</v>
      </c>
      <c r="B5" s="37">
        <f>Iochpe_Anual_e_2_Tri!B9</f>
        <v>813129000</v>
      </c>
      <c r="C5" s="37">
        <f>Iochpe_Anual_e_2_Tri!C9</f>
        <v>712303000</v>
      </c>
      <c r="D5" s="37">
        <f>Iochpe_Anual_e_2_Tri!D9</f>
        <v>1071044000</v>
      </c>
      <c r="E5" s="37">
        <f>Iochpe_Anual_e_2_Tri!E9</f>
        <v>1684702000</v>
      </c>
      <c r="F5" s="37">
        <f>Iochpe_Anual_e_2_Tri!F9</f>
        <v>1182808000</v>
      </c>
      <c r="G5" s="37">
        <f>Iochpe_Anual_e_2_Tri!G9</f>
        <v>1352544000</v>
      </c>
      <c r="H5" s="37">
        <f>Iochpe_Anual_e_2_Tri!H9</f>
        <v>1076149000</v>
      </c>
      <c r="I5" s="37">
        <f>Iochpe_Anual_e_2_Tri!I9</f>
        <v>648697000</v>
      </c>
      <c r="J5" s="37">
        <f>Iochpe_Anual_e_2_Tri!J9</f>
        <v>1907564000</v>
      </c>
      <c r="K5" s="37">
        <f>Iochpe_Anual_e_2_Tri!K9</f>
        <v>1798780000</v>
      </c>
      <c r="AF5">
        <f>AF4+1</f>
        <v>2</v>
      </c>
    </row>
    <row r="6" spans="1:32" x14ac:dyDescent="0.25">
      <c r="A6" t="s">
        <v>373</v>
      </c>
      <c r="B6" s="37">
        <f>Iochpe_Anual_e_2_Tri!B14</f>
        <v>2187776000</v>
      </c>
      <c r="C6" s="37">
        <f>Iochpe_Anual_e_2_Tri!C14</f>
        <v>2061181000</v>
      </c>
      <c r="D6" s="37">
        <f>Iochpe_Anual_e_2_Tri!D14</f>
        <v>1821362000</v>
      </c>
      <c r="E6" s="37">
        <f>Iochpe_Anual_e_2_Tri!E14</f>
        <v>1730153000</v>
      </c>
      <c r="F6" s="37">
        <f>Iochpe_Anual_e_2_Tri!F14</f>
        <v>1877277000</v>
      </c>
      <c r="G6" s="37">
        <f>Iochpe_Anual_e_2_Tri!G14</f>
        <v>1490732000</v>
      </c>
      <c r="H6" s="37">
        <f>Iochpe_Anual_e_2_Tri!H14</f>
        <v>1737556000</v>
      </c>
      <c r="I6" s="37">
        <f>Iochpe_Anual_e_2_Tri!I14</f>
        <v>2412886000</v>
      </c>
      <c r="J6" s="37">
        <f>Iochpe_Anual_e_2_Tri!J14</f>
        <v>3212825000</v>
      </c>
      <c r="K6" s="37">
        <f>Iochpe_Anual_e_2_Tri!K14</f>
        <v>3574364000</v>
      </c>
      <c r="AF6">
        <f t="shared" ref="AF6:AF23" si="0">AF5+1</f>
        <v>3</v>
      </c>
    </row>
    <row r="7" spans="1:32" x14ac:dyDescent="0.25">
      <c r="A7" t="s">
        <v>602</v>
      </c>
      <c r="B7" s="37">
        <f>B5+B6</f>
        <v>3000905000</v>
      </c>
      <c r="C7" s="37">
        <f t="shared" ref="C7:K7" si="1">C5+C6</f>
        <v>2773484000</v>
      </c>
      <c r="D7" s="37">
        <f t="shared" si="1"/>
        <v>2892406000</v>
      </c>
      <c r="E7" s="37">
        <f t="shared" si="1"/>
        <v>3414855000</v>
      </c>
      <c r="F7" s="37">
        <f t="shared" si="1"/>
        <v>3060085000</v>
      </c>
      <c r="G7" s="37">
        <f t="shared" si="1"/>
        <v>2843276000</v>
      </c>
      <c r="H7" s="37">
        <f t="shared" si="1"/>
        <v>2813705000</v>
      </c>
      <c r="I7" s="37">
        <f t="shared" si="1"/>
        <v>3061583000</v>
      </c>
      <c r="J7" s="37">
        <f t="shared" si="1"/>
        <v>5120389000</v>
      </c>
      <c r="K7" s="37">
        <f t="shared" si="1"/>
        <v>5373144000</v>
      </c>
      <c r="AF7">
        <f t="shared" si="0"/>
        <v>4</v>
      </c>
    </row>
    <row r="8" spans="1:32" x14ac:dyDescent="0.25">
      <c r="A8" t="s">
        <v>570</v>
      </c>
      <c r="B8" s="37">
        <f>Iochpe_Anual_e_2_Tri!B23</f>
        <v>506500000</v>
      </c>
      <c r="C8" s="37">
        <f>Iochpe_Anual_e_2_Tri!C23</f>
        <v>662230000</v>
      </c>
      <c r="D8" s="37">
        <f>Iochpe_Anual_e_2_Tri!D23</f>
        <v>717079000</v>
      </c>
      <c r="E8" s="37">
        <f>Iochpe_Anual_e_2_Tri!E23</f>
        <v>739255000</v>
      </c>
      <c r="F8" s="37">
        <f>Iochpe_Anual_e_2_Tri!F23</f>
        <v>431599000</v>
      </c>
      <c r="G8" s="37">
        <f>Iochpe_Anual_e_2_Tri!G23</f>
        <v>543331000</v>
      </c>
      <c r="H8" s="37">
        <f>Iochpe_Anual_e_2_Tri!H23</f>
        <v>486903000</v>
      </c>
      <c r="I8" s="37">
        <f>Iochpe_Anual_e_2_Tri!I23</f>
        <v>646137000</v>
      </c>
      <c r="J8" s="37">
        <f>Iochpe_Anual_e_2_Tri!J23</f>
        <v>1605439000</v>
      </c>
      <c r="K8" s="37">
        <f>Iochpe_Anual_e_2_Tri!K23</f>
        <v>1355258000</v>
      </c>
      <c r="AF8">
        <f t="shared" si="0"/>
        <v>5</v>
      </c>
    </row>
    <row r="9" spans="1:32" x14ac:dyDescent="0.25">
      <c r="A9" t="s">
        <v>383</v>
      </c>
      <c r="B9" s="37">
        <f>B7-B8</f>
        <v>2494405000</v>
      </c>
      <c r="C9" s="37">
        <f t="shared" ref="C9:K9" si="2">C7-C8</f>
        <v>2111254000</v>
      </c>
      <c r="D9" s="37">
        <f t="shared" si="2"/>
        <v>2175327000</v>
      </c>
      <c r="E9" s="37">
        <f t="shared" si="2"/>
        <v>2675600000</v>
      </c>
      <c r="F9" s="37">
        <f t="shared" si="2"/>
        <v>2628486000</v>
      </c>
      <c r="G9" s="37">
        <f t="shared" si="2"/>
        <v>2299945000</v>
      </c>
      <c r="H9" s="37">
        <f t="shared" si="2"/>
        <v>2326802000</v>
      </c>
      <c r="I9" s="37">
        <f t="shared" si="2"/>
        <v>2415446000</v>
      </c>
      <c r="J9" s="37">
        <f t="shared" si="2"/>
        <v>3514950000</v>
      </c>
      <c r="K9" s="37">
        <f t="shared" si="2"/>
        <v>4017886000</v>
      </c>
      <c r="AF9">
        <f t="shared" si="0"/>
        <v>6</v>
      </c>
    </row>
    <row r="10" spans="1:32" x14ac:dyDescent="0.25">
      <c r="A10" t="s">
        <v>604</v>
      </c>
      <c r="B10" s="37">
        <f>Iochpe_Anual_e_2_Tri!B107</f>
        <v>0</v>
      </c>
      <c r="C10" s="37">
        <f>Iochpe_Anual_e_2_Tri!C107</f>
        <v>677202000</v>
      </c>
      <c r="D10" s="37">
        <f>Iochpe_Anual_e_2_Tri!D107</f>
        <v>672034000</v>
      </c>
      <c r="E10" s="37">
        <f>Iochpe_Anual_e_2_Tri!E107</f>
        <v>680419000</v>
      </c>
      <c r="F10" s="37">
        <f>Iochpe_Anual_e_2_Tri!F107</f>
        <v>825024000</v>
      </c>
      <c r="G10" s="37">
        <f>Iochpe_Anual_e_2_Tri!G107</f>
        <v>818510000</v>
      </c>
      <c r="H10" s="37">
        <f>Iochpe_Anual_e_2_Tri!H107</f>
        <v>1071525000</v>
      </c>
      <c r="I10" s="37">
        <f>Iochpe_Anual_e_2_Tri!I107</f>
        <v>1108985000</v>
      </c>
      <c r="J10" s="37">
        <f>Iochpe_Anual_e_2_Tri!J107</f>
        <v>543872000</v>
      </c>
      <c r="K10" s="37">
        <f>Iochpe_Anual_e_2_Tri!K107</f>
        <v>1455114000</v>
      </c>
      <c r="AF10">
        <f t="shared" si="0"/>
        <v>7</v>
      </c>
    </row>
    <row r="11" spans="1:32" x14ac:dyDescent="0.25">
      <c r="A11" t="s">
        <v>606</v>
      </c>
      <c r="B11" s="37">
        <f>Iochpe_Anual_e_2_Tri!B48</f>
        <v>1808742000</v>
      </c>
      <c r="C11" s="37">
        <f>Iochpe_Anual_e_2_Tri!C48</f>
        <v>1834151000</v>
      </c>
      <c r="D11" s="37">
        <f>Iochpe_Anual_e_2_Tri!D48</f>
        <v>2237802000</v>
      </c>
      <c r="E11" s="37">
        <f>Iochpe_Anual_e_2_Tri!E48</f>
        <v>3088750000</v>
      </c>
      <c r="F11" s="37">
        <f>Iochpe_Anual_e_2_Tri!F48</f>
        <v>2521719000</v>
      </c>
      <c r="G11" s="37">
        <f>Iochpe_Anual_e_2_Tri!G48</f>
        <v>3060854000</v>
      </c>
      <c r="H11" s="37">
        <f>Iochpe_Anual_e_2_Tri!H48</f>
        <v>3261829000</v>
      </c>
      <c r="I11" s="37">
        <f>Iochpe_Anual_e_2_Tri!I48</f>
        <v>2583618000</v>
      </c>
      <c r="J11" s="37">
        <f>Iochpe_Anual_e_2_Tri!J48</f>
        <v>4352451000</v>
      </c>
      <c r="K11" s="37">
        <f>Iochpe_Anual_e_2_Tri!K48</f>
        <v>4781777000</v>
      </c>
      <c r="AF11">
        <f t="shared" si="0"/>
        <v>8</v>
      </c>
    </row>
    <row r="12" spans="1:32" x14ac:dyDescent="0.25">
      <c r="A12" t="s">
        <v>607</v>
      </c>
      <c r="B12" s="37">
        <f>Iochpe_Anual_e_2_Tri!B54</f>
        <v>2885930000</v>
      </c>
      <c r="C12" s="37">
        <f>Iochpe_Anual_e_2_Tri!C54</f>
        <v>2756394000</v>
      </c>
      <c r="D12" s="37">
        <f>Iochpe_Anual_e_2_Tri!D54</f>
        <v>2446719000</v>
      </c>
      <c r="E12" s="37">
        <f>Iochpe_Anual_e_2_Tri!E54</f>
        <v>2445139000</v>
      </c>
      <c r="F12" s="37">
        <f>Iochpe_Anual_e_2_Tri!F54</f>
        <v>2518319000</v>
      </c>
      <c r="G12" s="37">
        <f>Iochpe_Anual_e_2_Tri!G54</f>
        <v>2230889000</v>
      </c>
      <c r="H12" s="37">
        <f>Iochpe_Anual_e_2_Tri!H54</f>
        <v>2558834000</v>
      </c>
      <c r="I12" s="37">
        <f>Iochpe_Anual_e_2_Tri!I54</f>
        <v>3294817000</v>
      </c>
      <c r="J12" s="37">
        <f>Iochpe_Anual_e_2_Tri!J54</f>
        <v>4256591000</v>
      </c>
      <c r="K12" s="37">
        <f>Iochpe_Anual_e_2_Tri!K54</f>
        <v>4528308000</v>
      </c>
      <c r="AF12">
        <f t="shared" si="0"/>
        <v>9</v>
      </c>
    </row>
    <row r="13" spans="1:32" x14ac:dyDescent="0.25">
      <c r="A13" t="s">
        <v>608</v>
      </c>
      <c r="B13" s="37">
        <f>Iochpe_Anual_e_2_Tri!B59 - Iochpe_Anual_e_2_Tri!B61</f>
        <v>913038000</v>
      </c>
      <c r="C13" s="37">
        <f>Iochpe_Anual_e_2_Tri!C59 - Iochpe_Anual_e_2_Tri!C61</f>
        <v>1221081000</v>
      </c>
      <c r="D13" s="37">
        <f>Iochpe_Anual_e_2_Tri!D59 - Iochpe_Anual_e_2_Tri!D61</f>
        <v>1383394000</v>
      </c>
      <c r="E13" s="37">
        <f>Iochpe_Anual_e_2_Tri!E59 - Iochpe_Anual_e_2_Tri!E61</f>
        <v>2153447000</v>
      </c>
      <c r="F13" s="37">
        <f>Iochpe_Anual_e_2_Tri!F59 - Iochpe_Anual_e_2_Tri!F61</f>
        <v>1783985000</v>
      </c>
      <c r="G13" s="37">
        <f>Iochpe_Anual_e_2_Tri!G59 - Iochpe_Anual_e_2_Tri!G61</f>
        <v>2387853000</v>
      </c>
      <c r="H13" s="37">
        <f>Iochpe_Anual_e_2_Tri!H59 - Iochpe_Anual_e_2_Tri!H61</f>
        <v>2921950000</v>
      </c>
      <c r="I13" s="37">
        <f>Iochpe_Anual_e_2_Tri!I59 - Iochpe_Anual_e_2_Tri!I61</f>
        <v>3228478000</v>
      </c>
      <c r="J13" s="37">
        <f>Iochpe_Anual_e_2_Tri!J59 - Iochpe_Anual_e_2_Tri!J61</f>
        <v>3462285000</v>
      </c>
      <c r="K13" s="37">
        <f>Iochpe_Anual_e_2_Tri!K59 - Iochpe_Anual_e_2_Tri!K61</f>
        <v>3599253000</v>
      </c>
      <c r="AF13">
        <f t="shared" si="0"/>
        <v>10</v>
      </c>
    </row>
    <row r="14" spans="1:32" x14ac:dyDescent="0.25">
      <c r="A14" t="s">
        <v>384</v>
      </c>
      <c r="B14" s="37">
        <f>Iochpe_Anual_e_2_Tri!B32</f>
        <v>5785582000</v>
      </c>
      <c r="C14" s="37">
        <f>Iochpe_Anual_e_2_Tri!C32</f>
        <v>6035705000</v>
      </c>
      <c r="D14" s="37">
        <f>Iochpe_Anual_e_2_Tri!D32</f>
        <v>6289024000</v>
      </c>
      <c r="E14" s="37">
        <f>Iochpe_Anual_e_2_Tri!E32</f>
        <v>7990379000</v>
      </c>
      <c r="F14" s="37">
        <f>Iochpe_Anual_e_2_Tri!F32</f>
        <v>7057115000</v>
      </c>
      <c r="G14" s="37">
        <f>Iochpe_Anual_e_2_Tri!G32</f>
        <v>7922248000</v>
      </c>
      <c r="H14" s="37">
        <f>Iochpe_Anual_e_2_Tri!H32</f>
        <v>9019190000</v>
      </c>
      <c r="I14" s="37">
        <f>Iochpe_Anual_e_2_Tri!I32</f>
        <v>9375411000</v>
      </c>
      <c r="J14" s="37">
        <f>Iochpe_Anual_e_2_Tri!J32</f>
        <v>12411803000</v>
      </c>
      <c r="K14" s="37">
        <f>Iochpe_Anual_e_2_Tri!K32</f>
        <v>13203278000</v>
      </c>
      <c r="AF14">
        <f t="shared" si="0"/>
        <v>11</v>
      </c>
    </row>
    <row r="15" spans="1:32" x14ac:dyDescent="0.25">
      <c r="A15" t="s">
        <v>605</v>
      </c>
      <c r="B15" s="51"/>
      <c r="C15" s="51">
        <f t="shared" ref="B15:J15" si="3">C9/C10</f>
        <v>3.1176133561330297</v>
      </c>
      <c r="D15" s="51">
        <f t="shared" si="3"/>
        <v>3.2369299767571285</v>
      </c>
      <c r="E15" s="51">
        <f t="shared" si="3"/>
        <v>3.932282902152938</v>
      </c>
      <c r="F15" s="51">
        <f t="shared" si="3"/>
        <v>3.1859509541540612</v>
      </c>
      <c r="G15" s="51">
        <f t="shared" si="3"/>
        <v>2.8099168000390953</v>
      </c>
      <c r="H15" s="51">
        <f t="shared" si="3"/>
        <v>2.1714864328877068</v>
      </c>
      <c r="I15" s="51">
        <f t="shared" si="3"/>
        <v>2.1780691352903783</v>
      </c>
      <c r="J15" s="51">
        <f t="shared" si="3"/>
        <v>6.4628258119557547</v>
      </c>
      <c r="K15" s="51">
        <f>K9/K10</f>
        <v>2.7612173341745043</v>
      </c>
      <c r="AF15">
        <f t="shared" si="0"/>
        <v>12</v>
      </c>
    </row>
    <row r="16" spans="1:32" x14ac:dyDescent="0.25">
      <c r="A16" t="s">
        <v>414</v>
      </c>
      <c r="B16" s="44">
        <f>Iochpe_Anual_e_2_Tri!B92</f>
        <v>38842000</v>
      </c>
      <c r="C16" s="44">
        <f>Iochpe_Anual_e_2_Tri!C92</f>
        <v>40971000</v>
      </c>
      <c r="D16" s="44">
        <f>Iochpe_Anual_e_2_Tri!D92</f>
        <v>50255000</v>
      </c>
      <c r="E16" s="44">
        <f>Iochpe_Anual_e_2_Tri!E92</f>
        <v>70483000</v>
      </c>
      <c r="F16" s="44">
        <f>Iochpe_Anual_e_2_Tri!F92</f>
        <v>67599000</v>
      </c>
      <c r="G16" s="44">
        <f>Iochpe_Anual_e_2_Tri!G92</f>
        <v>73806000</v>
      </c>
      <c r="H16" s="44">
        <f>Iochpe_Anual_e_2_Tri!H92</f>
        <v>104817000</v>
      </c>
      <c r="I16" s="44">
        <f>Iochpe_Anual_e_2_Tri!I92</f>
        <v>83980000</v>
      </c>
      <c r="J16" s="44">
        <f>Iochpe_Anual_e_2_Tri!J92</f>
        <v>71866000</v>
      </c>
      <c r="K16" s="44">
        <f>Iochpe_Anual_e_2_Tri!K92</f>
        <v>96758000</v>
      </c>
      <c r="AF16">
        <f t="shared" si="0"/>
        <v>13</v>
      </c>
    </row>
    <row r="17" spans="1:32" x14ac:dyDescent="0.25">
      <c r="A17" t="s">
        <v>563</v>
      </c>
      <c r="B17" s="44">
        <f>Iochpe_Anual_e_2_Tri!B93</f>
        <v>66864000</v>
      </c>
      <c r="C17" s="44">
        <f>Iochpe_Anual_e_2_Tri!C93</f>
        <v>170329000</v>
      </c>
      <c r="D17" s="44">
        <f>Iochpe_Anual_e_2_Tri!D93</f>
        <v>67777000</v>
      </c>
      <c r="E17" s="44">
        <f>Iochpe_Anual_e_2_Tri!E93</f>
        <v>49366000</v>
      </c>
      <c r="F17" s="44">
        <f>Iochpe_Anual_e_2_Tri!F93</f>
        <v>21531000</v>
      </c>
      <c r="G17" s="44">
        <f>Iochpe_Anual_e_2_Tri!G93</f>
        <v>6403000</v>
      </c>
      <c r="H17" s="44">
        <f>Iochpe_Anual_e_2_Tri!H93</f>
        <v>201325000</v>
      </c>
      <c r="I17" s="44">
        <f>Iochpe_Anual_e_2_Tri!I93</f>
        <v>337435000</v>
      </c>
      <c r="J17" s="44">
        <f>Iochpe_Anual_e_2_Tri!J93</f>
        <v>-491780000</v>
      </c>
      <c r="K17" s="44">
        <f>Iochpe_Anual_e_2_Tri!K93</f>
        <v>117712000</v>
      </c>
      <c r="AF17">
        <f t="shared" si="0"/>
        <v>14</v>
      </c>
    </row>
    <row r="18" spans="1:32" x14ac:dyDescent="0.25">
      <c r="A18" t="s">
        <v>613</v>
      </c>
      <c r="B18" s="44">
        <f>Iochpe_Anual_e_2_Tri!B59</f>
        <v>1090910000</v>
      </c>
      <c r="C18" s="44">
        <f>Iochpe_Anual_e_2_Tri!C59</f>
        <v>1445160000</v>
      </c>
      <c r="D18" s="44">
        <f>Iochpe_Anual_e_2_Tri!D59</f>
        <v>1604503000</v>
      </c>
      <c r="E18" s="44">
        <f>Iochpe_Anual_e_2_Tri!E59</f>
        <v>2456490000</v>
      </c>
      <c r="F18" s="44">
        <f>Iochpe_Anual_e_2_Tri!F59</f>
        <v>2017077000</v>
      </c>
      <c r="G18" s="44">
        <f>Iochpe_Anual_e_2_Tri!G59</f>
        <v>2630505000</v>
      </c>
      <c r="H18" s="44">
        <f>Iochpe_Anual_e_2_Tri!H59</f>
        <v>3198527000</v>
      </c>
      <c r="I18" s="44">
        <f>Iochpe_Anual_e_2_Tri!I59</f>
        <v>3496976000</v>
      </c>
      <c r="J18" s="44">
        <f>Iochpe_Anual_e_2_Tri!J59</f>
        <v>3802761000</v>
      </c>
      <c r="K18" s="44">
        <f>Iochpe_Anual_e_2_Tri!K59</f>
        <v>3893193000</v>
      </c>
      <c r="AF18">
        <f t="shared" si="0"/>
        <v>15</v>
      </c>
    </row>
    <row r="19" spans="1:32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AF19">
        <f t="shared" si="0"/>
        <v>16</v>
      </c>
    </row>
    <row r="20" spans="1:32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AF20">
        <f t="shared" si="0"/>
        <v>17</v>
      </c>
    </row>
    <row r="21" spans="1:32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AF21">
        <f t="shared" si="0"/>
        <v>18</v>
      </c>
    </row>
    <row r="22" spans="1:32" x14ac:dyDescent="0.25">
      <c r="AF22">
        <f t="shared" si="0"/>
        <v>19</v>
      </c>
    </row>
    <row r="23" spans="1:32" x14ac:dyDescent="0.25">
      <c r="AF23">
        <f t="shared" si="0"/>
        <v>20</v>
      </c>
    </row>
    <row r="24" spans="1:32" x14ac:dyDescent="0.25">
      <c r="B24" s="21" t="s">
        <v>467</v>
      </c>
      <c r="C24" s="21" t="s">
        <v>361</v>
      </c>
      <c r="D24" s="21">
        <v>2014</v>
      </c>
      <c r="E24" s="21">
        <v>2015</v>
      </c>
      <c r="F24" s="21" t="s">
        <v>362</v>
      </c>
      <c r="G24" s="21" t="s">
        <v>363</v>
      </c>
      <c r="H24" s="21" t="s">
        <v>364</v>
      </c>
      <c r="I24" s="21" t="s">
        <v>365</v>
      </c>
      <c r="J24" s="21" t="s">
        <v>366</v>
      </c>
      <c r="K24" s="21" t="s">
        <v>367</v>
      </c>
      <c r="M24" s="55" t="s">
        <v>573</v>
      </c>
      <c r="N24" s="55" t="s">
        <v>574</v>
      </c>
    </row>
    <row r="25" spans="1:32" x14ac:dyDescent="0.25">
      <c r="A25" t="s">
        <v>369</v>
      </c>
      <c r="B25" s="59">
        <f>B5/1000000</f>
        <v>813.12900000000002</v>
      </c>
      <c r="C25" s="59">
        <f t="shared" ref="C25:K25" si="4">C5/1000000</f>
        <v>712.303</v>
      </c>
      <c r="D25" s="59">
        <f t="shared" si="4"/>
        <v>1071.0440000000001</v>
      </c>
      <c r="E25" s="59">
        <f t="shared" si="4"/>
        <v>1684.702</v>
      </c>
      <c r="F25" s="59">
        <f t="shared" si="4"/>
        <v>1182.808</v>
      </c>
      <c r="G25" s="59">
        <f t="shared" si="4"/>
        <v>1352.5440000000001</v>
      </c>
      <c r="H25" s="59">
        <f t="shared" si="4"/>
        <v>1076.1489999999999</v>
      </c>
      <c r="I25" s="59">
        <f t="shared" si="4"/>
        <v>648.697</v>
      </c>
      <c r="J25" s="59">
        <f t="shared" si="4"/>
        <v>1907.5640000000001</v>
      </c>
      <c r="K25" s="59">
        <f t="shared" si="4"/>
        <v>1798.78</v>
      </c>
      <c r="M25" s="59">
        <f>SMALL($C25:$K25,1)</f>
        <v>648.697</v>
      </c>
      <c r="N25" s="59">
        <f>LARGE($C25:$K25,1)</f>
        <v>1907.5640000000001</v>
      </c>
    </row>
    <row r="26" spans="1:32" x14ac:dyDescent="0.25">
      <c r="A26" t="s">
        <v>373</v>
      </c>
      <c r="B26" s="59">
        <f t="shared" ref="B26:K29" si="5">B6/1000000</f>
        <v>2187.7759999999998</v>
      </c>
      <c r="C26" s="59">
        <f t="shared" si="5"/>
        <v>2061.181</v>
      </c>
      <c r="D26" s="59">
        <f t="shared" si="5"/>
        <v>1821.3620000000001</v>
      </c>
      <c r="E26" s="59">
        <f t="shared" si="5"/>
        <v>1730.153</v>
      </c>
      <c r="F26" s="59">
        <f t="shared" si="5"/>
        <v>1877.277</v>
      </c>
      <c r="G26" s="59">
        <f t="shared" si="5"/>
        <v>1490.732</v>
      </c>
      <c r="H26" s="59">
        <f t="shared" si="5"/>
        <v>1737.556</v>
      </c>
      <c r="I26" s="59">
        <f t="shared" si="5"/>
        <v>2412.886</v>
      </c>
      <c r="J26" s="59">
        <f t="shared" si="5"/>
        <v>3212.8249999999998</v>
      </c>
      <c r="K26" s="59">
        <f t="shared" si="5"/>
        <v>3574.364</v>
      </c>
      <c r="M26" s="59">
        <f>SMALL($C26:$K26,1)</f>
        <v>1490.732</v>
      </c>
      <c r="N26" s="59">
        <f>LARGE($C26:$K26,1)</f>
        <v>3574.364</v>
      </c>
      <c r="P26">
        <v>1</v>
      </c>
      <c r="Q26">
        <f>P26+1</f>
        <v>2</v>
      </c>
      <c r="R26">
        <f t="shared" ref="R26:AD26" si="6">Q26+1</f>
        <v>3</v>
      </c>
      <c r="S26">
        <f t="shared" si="6"/>
        <v>4</v>
      </c>
      <c r="T26">
        <f t="shared" si="6"/>
        <v>5</v>
      </c>
      <c r="U26">
        <f t="shared" si="6"/>
        <v>6</v>
      </c>
      <c r="V26">
        <f t="shared" si="6"/>
        <v>7</v>
      </c>
      <c r="W26">
        <f t="shared" si="6"/>
        <v>8</v>
      </c>
      <c r="X26">
        <f t="shared" si="6"/>
        <v>9</v>
      </c>
      <c r="Y26">
        <f t="shared" si="6"/>
        <v>10</v>
      </c>
      <c r="Z26">
        <f t="shared" si="6"/>
        <v>11</v>
      </c>
      <c r="AA26">
        <f t="shared" si="6"/>
        <v>12</v>
      </c>
      <c r="AB26">
        <f t="shared" si="6"/>
        <v>13</v>
      </c>
      <c r="AC26">
        <f t="shared" si="6"/>
        <v>14</v>
      </c>
      <c r="AD26">
        <f t="shared" si="6"/>
        <v>15</v>
      </c>
    </row>
    <row r="27" spans="1:32" x14ac:dyDescent="0.25">
      <c r="A27" t="s">
        <v>602</v>
      </c>
      <c r="B27" s="59">
        <f t="shared" si="5"/>
        <v>3000.9050000000002</v>
      </c>
      <c r="C27" s="59">
        <f t="shared" si="5"/>
        <v>2773.4839999999999</v>
      </c>
      <c r="D27" s="59">
        <f t="shared" si="5"/>
        <v>2892.4059999999999</v>
      </c>
      <c r="E27" s="59">
        <f t="shared" si="5"/>
        <v>3414.855</v>
      </c>
      <c r="F27" s="59">
        <f t="shared" si="5"/>
        <v>3060.085</v>
      </c>
      <c r="G27" s="59">
        <f t="shared" si="5"/>
        <v>2843.2759999999998</v>
      </c>
      <c r="H27" s="59">
        <f t="shared" si="5"/>
        <v>2813.7049999999999</v>
      </c>
      <c r="I27" s="59">
        <f t="shared" si="5"/>
        <v>3061.5830000000001</v>
      </c>
      <c r="J27" s="59">
        <f t="shared" si="5"/>
        <v>5120.3890000000001</v>
      </c>
      <c r="K27" s="59">
        <f t="shared" si="5"/>
        <v>5373.1440000000002</v>
      </c>
      <c r="M27" s="59">
        <f>SMALL($C27:$K27,1)</f>
        <v>2773.4839999999999</v>
      </c>
      <c r="N27" s="59">
        <f>LARGE($C27:$K27,1)</f>
        <v>5373.1440000000002</v>
      </c>
    </row>
    <row r="28" spans="1:32" x14ac:dyDescent="0.25">
      <c r="A28" t="s">
        <v>570</v>
      </c>
      <c r="B28" s="59">
        <f t="shared" si="5"/>
        <v>506.5</v>
      </c>
      <c r="C28" s="59">
        <f t="shared" si="5"/>
        <v>662.23</v>
      </c>
      <c r="D28" s="59">
        <f t="shared" si="5"/>
        <v>717.07899999999995</v>
      </c>
      <c r="E28" s="59">
        <f t="shared" si="5"/>
        <v>739.255</v>
      </c>
      <c r="F28" s="59">
        <f t="shared" si="5"/>
        <v>431.59899999999999</v>
      </c>
      <c r="G28" s="59">
        <f t="shared" si="5"/>
        <v>543.33100000000002</v>
      </c>
      <c r="H28" s="59">
        <f t="shared" si="5"/>
        <v>486.90300000000002</v>
      </c>
      <c r="I28" s="59">
        <f t="shared" si="5"/>
        <v>646.13699999999994</v>
      </c>
      <c r="J28" s="59">
        <f t="shared" si="5"/>
        <v>1605.4390000000001</v>
      </c>
      <c r="K28" s="59">
        <f t="shared" si="5"/>
        <v>1355.258</v>
      </c>
      <c r="M28" s="59">
        <f>SMALL($C28:$K28,1)</f>
        <v>431.59899999999999</v>
      </c>
      <c r="N28" s="59">
        <f>LARGE($C28:$K28,1)</f>
        <v>1605.4390000000001</v>
      </c>
    </row>
    <row r="29" spans="1:32" x14ac:dyDescent="0.25">
      <c r="A29" t="s">
        <v>614</v>
      </c>
      <c r="B29" s="59">
        <f t="shared" si="5"/>
        <v>2494.4050000000002</v>
      </c>
      <c r="C29" s="59">
        <f t="shared" si="5"/>
        <v>2111.2539999999999</v>
      </c>
      <c r="D29" s="59">
        <f t="shared" si="5"/>
        <v>2175.3270000000002</v>
      </c>
      <c r="E29" s="59">
        <f t="shared" si="5"/>
        <v>2675.6</v>
      </c>
      <c r="F29" s="59">
        <f t="shared" si="5"/>
        <v>2628.4859999999999</v>
      </c>
      <c r="G29" s="59">
        <f t="shared" si="5"/>
        <v>2299.9450000000002</v>
      </c>
      <c r="H29" s="59">
        <f t="shared" si="5"/>
        <v>2326.8020000000001</v>
      </c>
      <c r="I29" s="59">
        <f t="shared" si="5"/>
        <v>2415.4459999999999</v>
      </c>
      <c r="J29" s="59">
        <f t="shared" si="5"/>
        <v>3514.95</v>
      </c>
      <c r="K29" s="59">
        <f t="shared" si="5"/>
        <v>4017.886</v>
      </c>
      <c r="M29" s="59">
        <f>SMALL($C29:$K29,1)</f>
        <v>2111.2539999999999</v>
      </c>
      <c r="N29" s="59">
        <f>LARGE($C29:$K29,1)</f>
        <v>4017.886</v>
      </c>
      <c r="AF29">
        <v>1</v>
      </c>
    </row>
    <row r="30" spans="1:32" x14ac:dyDescent="0.25">
      <c r="A30" t="s">
        <v>603</v>
      </c>
      <c r="B30" s="27">
        <f>B5/B7</f>
        <v>0.27096126001989401</v>
      </c>
      <c r="C30" s="27">
        <f t="shared" ref="C30:K30" si="7">C5/C7</f>
        <v>0.25682607146823272</v>
      </c>
      <c r="D30" s="27">
        <f t="shared" si="7"/>
        <v>0.37029517986064198</v>
      </c>
      <c r="E30" s="27">
        <f t="shared" si="7"/>
        <v>0.49334510542907384</v>
      </c>
      <c r="F30" s="27">
        <f t="shared" si="7"/>
        <v>0.3865278252074697</v>
      </c>
      <c r="G30" s="27">
        <f t="shared" si="7"/>
        <v>0.47569915829486831</v>
      </c>
      <c r="H30" s="27">
        <f t="shared" si="7"/>
        <v>0.38246688974146187</v>
      </c>
      <c r="I30" s="27">
        <f t="shared" si="7"/>
        <v>0.21188287235720868</v>
      </c>
      <c r="J30" s="27">
        <f t="shared" si="7"/>
        <v>0.37254278922949019</v>
      </c>
      <c r="K30" s="27">
        <f t="shared" si="7"/>
        <v>0.33477234185422911</v>
      </c>
      <c r="AF30">
        <f>AF29+1</f>
        <v>2</v>
      </c>
    </row>
    <row r="31" spans="1:32" x14ac:dyDescent="0.25">
      <c r="A31" t="s">
        <v>609</v>
      </c>
      <c r="B31" s="27">
        <f>B7/(B7 + B13)</f>
        <v>0.76672169216567543</v>
      </c>
      <c r="C31" s="27">
        <f t="shared" ref="C31:K31" si="8">C7/(C7 + C13)</f>
        <v>0.69431439969057962</v>
      </c>
      <c r="D31" s="27">
        <f t="shared" si="8"/>
        <v>0.67645960989756304</v>
      </c>
      <c r="E31" s="27">
        <f t="shared" si="8"/>
        <v>0.61326684508131923</v>
      </c>
      <c r="F31" s="27">
        <f t="shared" si="8"/>
        <v>0.63171774974350081</v>
      </c>
      <c r="G31" s="27">
        <f t="shared" si="8"/>
        <v>0.54353008690858129</v>
      </c>
      <c r="H31" s="27">
        <f t="shared" si="8"/>
        <v>0.49056385016183851</v>
      </c>
      <c r="I31" s="27">
        <f t="shared" si="8"/>
        <v>0.48673343549450476</v>
      </c>
      <c r="J31" s="27">
        <f t="shared" si="8"/>
        <v>0.59659600259779177</v>
      </c>
      <c r="K31" s="27">
        <f t="shared" si="8"/>
        <v>0.59885268117315804</v>
      </c>
      <c r="M31" s="58">
        <f>SMALL(M25:M29, 1)</f>
        <v>431.59899999999999</v>
      </c>
      <c r="N31" s="58">
        <f>LARGE(N25:N29, 1)</f>
        <v>5373.1440000000002</v>
      </c>
      <c r="AF31">
        <f t="shared" ref="AF31:AF48" si="9">AF30+1</f>
        <v>3</v>
      </c>
    </row>
    <row r="32" spans="1:32" x14ac:dyDescent="0.25">
      <c r="A32" t="s">
        <v>610</v>
      </c>
      <c r="B32" s="53">
        <f>(B17+B16)/B18</f>
        <v>9.6897085919095072E-2</v>
      </c>
      <c r="C32" s="53">
        <f t="shared" ref="C32:K32" si="10">(C17+C16)/C18</f>
        <v>0.14621218411802153</v>
      </c>
      <c r="D32" s="53">
        <f t="shared" si="10"/>
        <v>7.3562966226925097E-2</v>
      </c>
      <c r="E32" s="53">
        <f t="shared" si="10"/>
        <v>4.8788718863093272E-2</v>
      </c>
      <c r="F32" s="53">
        <f t="shared" si="10"/>
        <v>4.418770329541212E-2</v>
      </c>
      <c r="G32" s="53">
        <f t="shared" si="10"/>
        <v>3.0491863729588044E-2</v>
      </c>
      <c r="H32" s="53">
        <f t="shared" si="10"/>
        <v>9.5713433089669092E-2</v>
      </c>
      <c r="I32" s="53">
        <f t="shared" si="10"/>
        <v>0.12050840497618513</v>
      </c>
      <c r="J32" s="53">
        <f t="shared" si="10"/>
        <v>-0.11042345285438659</v>
      </c>
      <c r="K32" s="53">
        <f t="shared" si="10"/>
        <v>5.5088458239804704E-2</v>
      </c>
      <c r="AF32">
        <f t="shared" si="9"/>
        <v>4</v>
      </c>
    </row>
    <row r="33" spans="1:32" x14ac:dyDescent="0.25">
      <c r="A33" t="s">
        <v>611</v>
      </c>
      <c r="B33" s="60">
        <f>(B17+B16)/B14</f>
        <v>1.8270590581898245E-2</v>
      </c>
      <c r="C33" s="60">
        <f t="shared" ref="C33:K33" si="11">(C17+C16)/C14</f>
        <v>3.5008337882649995E-2</v>
      </c>
      <c r="D33" s="60">
        <f t="shared" si="11"/>
        <v>1.8767936010420695E-2</v>
      </c>
      <c r="E33" s="60">
        <f t="shared" si="11"/>
        <v>1.499916336884646E-2</v>
      </c>
      <c r="F33" s="60">
        <f t="shared" si="11"/>
        <v>1.262980693952132E-2</v>
      </c>
      <c r="G33" s="60">
        <f t="shared" si="11"/>
        <v>1.0124525261011773E-2</v>
      </c>
      <c r="H33" s="60">
        <f t="shared" si="11"/>
        <v>3.3943402899816948E-2</v>
      </c>
      <c r="I33" s="60">
        <f t="shared" si="11"/>
        <v>4.4948962770805463E-2</v>
      </c>
      <c r="J33" s="60">
        <f t="shared" si="11"/>
        <v>-3.3831829267673683E-2</v>
      </c>
      <c r="K33" s="60">
        <f t="shared" si="11"/>
        <v>1.6243693422194096E-2</v>
      </c>
      <c r="AF33">
        <f t="shared" si="9"/>
        <v>5</v>
      </c>
    </row>
    <row r="34" spans="1:32" x14ac:dyDescent="0.25">
      <c r="A34" t="s">
        <v>612</v>
      </c>
      <c r="B34" s="51">
        <f>B32/B33</f>
        <v>5.3034457471285439</v>
      </c>
      <c r="C34" s="51">
        <f t="shared" ref="C34:K34" si="12">C32/C33</f>
        <v>4.1764960281214538</v>
      </c>
      <c r="D34" s="51">
        <f t="shared" si="12"/>
        <v>3.9196087511210638</v>
      </c>
      <c r="E34" s="51">
        <f t="shared" si="12"/>
        <v>3.2527626817125244</v>
      </c>
      <c r="F34" s="51">
        <f t="shared" si="12"/>
        <v>3.4986839867788881</v>
      </c>
      <c r="G34" s="51">
        <f t="shared" si="12"/>
        <v>3.0116833079579775</v>
      </c>
      <c r="H34" s="51">
        <f t="shared" si="12"/>
        <v>2.8197948618223325</v>
      </c>
      <c r="I34" s="51">
        <f t="shared" si="12"/>
        <v>2.6810052456751201</v>
      </c>
      <c r="J34" s="51">
        <f t="shared" si="12"/>
        <v>3.2638924718119284</v>
      </c>
      <c r="K34" s="51">
        <f t="shared" si="12"/>
        <v>3.3913751514502359</v>
      </c>
      <c r="AF34">
        <f t="shared" si="9"/>
        <v>6</v>
      </c>
    </row>
    <row r="35" spans="1:32" x14ac:dyDescent="0.25">
      <c r="A35" t="s">
        <v>605</v>
      </c>
      <c r="B35" s="51">
        <f>B15</f>
        <v>0</v>
      </c>
      <c r="C35" s="51">
        <f t="shared" ref="C35:K35" si="13">C15</f>
        <v>3.1176133561330297</v>
      </c>
      <c r="D35" s="51">
        <f t="shared" si="13"/>
        <v>3.2369299767571285</v>
      </c>
      <c r="E35" s="51">
        <f t="shared" si="13"/>
        <v>3.932282902152938</v>
      </c>
      <c r="F35" s="51">
        <f t="shared" si="13"/>
        <v>3.1859509541540612</v>
      </c>
      <c r="G35" s="51">
        <f t="shared" si="13"/>
        <v>2.8099168000390953</v>
      </c>
      <c r="H35" s="51">
        <f t="shared" si="13"/>
        <v>2.1714864328877068</v>
      </c>
      <c r="I35" s="51">
        <f t="shared" si="13"/>
        <v>2.1780691352903783</v>
      </c>
      <c r="J35" s="51">
        <f t="shared" si="13"/>
        <v>6.4628258119557547</v>
      </c>
      <c r="K35" s="51">
        <f t="shared" si="13"/>
        <v>2.7612173341745043</v>
      </c>
      <c r="AF35">
        <f t="shared" si="9"/>
        <v>7</v>
      </c>
    </row>
    <row r="36" spans="1:32" x14ac:dyDescent="0.25">
      <c r="AF36">
        <f t="shared" si="9"/>
        <v>8</v>
      </c>
    </row>
    <row r="37" spans="1:32" x14ac:dyDescent="0.25">
      <c r="AF37">
        <f t="shared" si="9"/>
        <v>9</v>
      </c>
    </row>
    <row r="38" spans="1:32" x14ac:dyDescent="0.25">
      <c r="AF38">
        <f t="shared" si="9"/>
        <v>10</v>
      </c>
    </row>
    <row r="39" spans="1:32" x14ac:dyDescent="0.25">
      <c r="AF39">
        <f t="shared" si="9"/>
        <v>11</v>
      </c>
    </row>
    <row r="40" spans="1:32" x14ac:dyDescent="0.25">
      <c r="AF40">
        <f t="shared" si="9"/>
        <v>12</v>
      </c>
    </row>
    <row r="41" spans="1:32" x14ac:dyDescent="0.25">
      <c r="AF41">
        <f t="shared" si="9"/>
        <v>13</v>
      </c>
    </row>
    <row r="42" spans="1:32" x14ac:dyDescent="0.25">
      <c r="AF42">
        <f t="shared" si="9"/>
        <v>14</v>
      </c>
    </row>
    <row r="43" spans="1:32" x14ac:dyDescent="0.25">
      <c r="AF43">
        <f t="shared" si="9"/>
        <v>15</v>
      </c>
    </row>
    <row r="44" spans="1:32" x14ac:dyDescent="0.25">
      <c r="AF44">
        <f t="shared" si="9"/>
        <v>16</v>
      </c>
    </row>
    <row r="45" spans="1:32" x14ac:dyDescent="0.25">
      <c r="AF45">
        <f t="shared" si="9"/>
        <v>17</v>
      </c>
    </row>
    <row r="46" spans="1:32" x14ac:dyDescent="0.25">
      <c r="AF46">
        <f t="shared" si="9"/>
        <v>18</v>
      </c>
    </row>
    <row r="47" spans="1:32" x14ac:dyDescent="0.25">
      <c r="AF47">
        <f t="shared" si="9"/>
        <v>19</v>
      </c>
    </row>
    <row r="48" spans="1:32" x14ac:dyDescent="0.25">
      <c r="AF48">
        <f t="shared" si="9"/>
        <v>20</v>
      </c>
    </row>
    <row r="50" spans="16:30" x14ac:dyDescent="0.25">
      <c r="P50">
        <v>1</v>
      </c>
      <c r="Q50">
        <f>P50+1</f>
        <v>2</v>
      </c>
      <c r="R50">
        <f t="shared" ref="R50:AD50" si="14">Q50+1</f>
        <v>3</v>
      </c>
      <c r="S50">
        <f t="shared" si="14"/>
        <v>4</v>
      </c>
      <c r="T50">
        <f t="shared" si="14"/>
        <v>5</v>
      </c>
      <c r="U50">
        <f t="shared" si="14"/>
        <v>6</v>
      </c>
      <c r="V50">
        <f t="shared" si="14"/>
        <v>7</v>
      </c>
      <c r="W50">
        <f t="shared" si="14"/>
        <v>8</v>
      </c>
      <c r="X50">
        <f t="shared" si="14"/>
        <v>9</v>
      </c>
      <c r="Y50">
        <f t="shared" si="14"/>
        <v>10</v>
      </c>
      <c r="Z50">
        <f t="shared" si="14"/>
        <v>11</v>
      </c>
      <c r="AA50">
        <f t="shared" si="14"/>
        <v>12</v>
      </c>
      <c r="AB50">
        <f t="shared" si="14"/>
        <v>13</v>
      </c>
      <c r="AC50">
        <f t="shared" si="14"/>
        <v>14</v>
      </c>
      <c r="AD50">
        <f t="shared" si="14"/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14"/>
  <sheetViews>
    <sheetView workbookViewId="0">
      <pane xSplit="1" ySplit="4" topLeftCell="B246" activePane="bottomRight" state="frozen"/>
      <selection pane="topRight" activeCell="B1" sqref="B1"/>
      <selection pane="bottomLeft" activeCell="A5" sqref="A5"/>
      <selection pane="bottomRight" activeCell="K262" sqref="K262"/>
    </sheetView>
  </sheetViews>
  <sheetFormatPr defaultRowHeight="15" x14ac:dyDescent="0.25"/>
  <cols>
    <col min="1" max="1" width="48.140625" bestFit="1" customWidth="1"/>
    <col min="2" max="2" width="17.5703125" bestFit="1" customWidth="1"/>
    <col min="3" max="3" width="17.5703125" customWidth="1"/>
    <col min="4" max="11" width="18.7109375" customWidth="1"/>
    <col min="12" max="12" width="11.28515625" bestFit="1" customWidth="1"/>
    <col min="13" max="13" width="16.42578125" bestFit="1" customWidth="1"/>
    <col min="14" max="14" width="16.42578125" customWidth="1"/>
    <col min="15" max="22" width="14.7109375" customWidth="1"/>
  </cols>
  <sheetData>
    <row r="1" spans="1:22" x14ac:dyDescent="0.25">
      <c r="A1" s="18" t="s">
        <v>357</v>
      </c>
      <c r="L1" s="19"/>
    </row>
    <row r="2" spans="1:22" x14ac:dyDescent="0.25">
      <c r="A2" s="18" t="s">
        <v>360</v>
      </c>
    </row>
    <row r="4" spans="1:22" x14ac:dyDescent="0.25">
      <c r="A4" s="20" t="s">
        <v>0</v>
      </c>
      <c r="B4" s="21" t="s">
        <v>506</v>
      </c>
      <c r="C4" s="21" t="s">
        <v>510</v>
      </c>
      <c r="D4" s="21" t="s">
        <v>511</v>
      </c>
      <c r="E4" s="21" t="s">
        <v>512</v>
      </c>
      <c r="F4" s="21" t="s">
        <v>507</v>
      </c>
      <c r="G4" s="21" t="s">
        <v>513</v>
      </c>
      <c r="H4" s="21" t="s">
        <v>514</v>
      </c>
      <c r="I4" s="21" t="s">
        <v>515</v>
      </c>
      <c r="J4" s="21" t="s">
        <v>508</v>
      </c>
      <c r="K4" s="21" t="s">
        <v>509</v>
      </c>
      <c r="M4" s="21" t="s">
        <v>506</v>
      </c>
      <c r="N4" s="21" t="s">
        <v>510</v>
      </c>
      <c r="O4" s="21" t="s">
        <v>511</v>
      </c>
      <c r="P4" s="21" t="s">
        <v>512</v>
      </c>
      <c r="Q4" s="21" t="s">
        <v>507</v>
      </c>
      <c r="R4" s="21" t="s">
        <v>513</v>
      </c>
      <c r="S4" s="21" t="s">
        <v>514</v>
      </c>
      <c r="T4" s="21" t="s">
        <v>515</v>
      </c>
      <c r="U4" s="21" t="s">
        <v>508</v>
      </c>
      <c r="V4" s="21" t="s">
        <v>509</v>
      </c>
    </row>
    <row r="9" spans="1:22" x14ac:dyDescent="0.25">
      <c r="A9" t="s">
        <v>369</v>
      </c>
      <c r="B9" s="42">
        <f>SUM(B10:B12)</f>
        <v>867948000</v>
      </c>
      <c r="C9" s="42">
        <f t="shared" ref="C9:K9" si="0">SUM(C10:C12)</f>
        <v>743937000</v>
      </c>
      <c r="D9" s="42">
        <f t="shared" si="0"/>
        <v>725455000</v>
      </c>
      <c r="E9" s="42">
        <f t="shared" si="0"/>
        <v>648697000</v>
      </c>
      <c r="F9" s="42">
        <f t="shared" si="0"/>
        <v>1462573000</v>
      </c>
      <c r="G9" s="42">
        <f t="shared" si="0"/>
        <v>1828277000</v>
      </c>
      <c r="H9" s="42">
        <f t="shared" si="0"/>
        <v>2336419000</v>
      </c>
      <c r="I9" s="42">
        <f t="shared" si="0"/>
        <v>1907564000</v>
      </c>
      <c r="J9" s="42">
        <f t="shared" si="0"/>
        <v>3303156000</v>
      </c>
      <c r="K9" s="42">
        <f t="shared" si="0"/>
        <v>1798780000</v>
      </c>
      <c r="L9" s="23"/>
      <c r="M9" s="24">
        <f>B9/1000</f>
        <v>867948</v>
      </c>
      <c r="N9" s="24">
        <f t="shared" ref="N9:V11" si="1">C9/1000</f>
        <v>743937</v>
      </c>
      <c r="O9" s="24">
        <f t="shared" si="1"/>
        <v>725455</v>
      </c>
      <c r="P9" s="24">
        <f t="shared" si="1"/>
        <v>648697</v>
      </c>
      <c r="Q9" s="24">
        <f t="shared" si="1"/>
        <v>1462573</v>
      </c>
      <c r="R9" s="24">
        <f t="shared" si="1"/>
        <v>1828277</v>
      </c>
      <c r="S9" s="24">
        <f t="shared" si="1"/>
        <v>2336419</v>
      </c>
      <c r="T9" s="24">
        <f t="shared" si="1"/>
        <v>1907564</v>
      </c>
      <c r="U9" s="24">
        <f t="shared" si="1"/>
        <v>3303156</v>
      </c>
      <c r="V9" s="24">
        <f t="shared" si="1"/>
        <v>1798780</v>
      </c>
    </row>
    <row r="10" spans="1:22" x14ac:dyDescent="0.25">
      <c r="A10" t="s">
        <v>370</v>
      </c>
      <c r="B10" s="42">
        <f>Iochpe_Trimestral!B92</f>
        <v>707690000</v>
      </c>
      <c r="C10" s="42">
        <f>Iochpe_Trimestral!C92</f>
        <v>726463000</v>
      </c>
      <c r="D10" s="42">
        <f>Iochpe_Trimestral!D92</f>
        <v>724591000</v>
      </c>
      <c r="E10" s="42">
        <f>Iochpe_Trimestral!E92</f>
        <v>629300000</v>
      </c>
      <c r="F10" s="42">
        <f>Iochpe_Trimestral!F92</f>
        <v>1462768000</v>
      </c>
      <c r="G10" s="42">
        <f>Iochpe_Trimestral!G92</f>
        <v>1827512000</v>
      </c>
      <c r="H10" s="42">
        <f>Iochpe_Trimestral!H92</f>
        <v>2341755000</v>
      </c>
      <c r="I10" s="42">
        <f>Iochpe_Trimestral!I92</f>
        <v>1907613000</v>
      </c>
      <c r="J10" s="42">
        <f>Iochpe_Trimestral!J92</f>
        <v>3086850000</v>
      </c>
      <c r="K10" s="42">
        <f>Iochpe_Trimestral!K92</f>
        <v>1575395000</v>
      </c>
      <c r="L10" s="23"/>
      <c r="M10" s="24">
        <f t="shared" ref="M10:M11" si="2">B10/1000</f>
        <v>707690</v>
      </c>
      <c r="N10" s="24">
        <f t="shared" si="1"/>
        <v>726463</v>
      </c>
      <c r="O10" s="24">
        <f t="shared" si="1"/>
        <v>724591</v>
      </c>
      <c r="P10" s="24">
        <f t="shared" si="1"/>
        <v>629300</v>
      </c>
      <c r="Q10" s="24">
        <f t="shared" si="1"/>
        <v>1462768</v>
      </c>
      <c r="R10" s="24">
        <f t="shared" si="1"/>
        <v>1827512</v>
      </c>
      <c r="S10" s="24">
        <f t="shared" si="1"/>
        <v>2341755</v>
      </c>
      <c r="T10" s="24">
        <f t="shared" si="1"/>
        <v>1907613</v>
      </c>
      <c r="U10" s="24">
        <f t="shared" si="1"/>
        <v>3086850</v>
      </c>
      <c r="V10" s="24">
        <f t="shared" si="1"/>
        <v>1575395</v>
      </c>
    </row>
    <row r="11" spans="1:22" x14ac:dyDescent="0.25">
      <c r="A11" t="s">
        <v>371</v>
      </c>
      <c r="B11" s="42">
        <f>Iochpe_Trimestral!B95</f>
        <v>160258000</v>
      </c>
      <c r="C11" s="42">
        <f>Iochpe_Trimestral!C95</f>
        <v>17474000</v>
      </c>
      <c r="D11" s="42">
        <f>Iochpe_Trimestral!D95</f>
        <v>864000</v>
      </c>
      <c r="E11" s="42">
        <f>Iochpe_Trimestral!E95</f>
        <v>19397000</v>
      </c>
      <c r="F11" s="42">
        <f>Iochpe_Trimestral!F95</f>
        <v>-195000</v>
      </c>
      <c r="G11" s="42">
        <f>Iochpe_Trimestral!G95</f>
        <v>765000</v>
      </c>
      <c r="H11" s="42">
        <f>Iochpe_Trimestral!H95</f>
        <v>-5336000</v>
      </c>
      <c r="I11" s="42">
        <f>Iochpe_Trimestral!I95</f>
        <v>-49000</v>
      </c>
      <c r="J11" s="42">
        <f>Iochpe_Trimestral!J95</f>
        <v>216306000</v>
      </c>
      <c r="K11" s="42">
        <f>Iochpe_Trimestral!K95</f>
        <v>223385000</v>
      </c>
      <c r="L11" s="23"/>
      <c r="M11" s="24">
        <f t="shared" si="2"/>
        <v>160258</v>
      </c>
      <c r="N11" s="24">
        <f t="shared" si="1"/>
        <v>17474</v>
      </c>
      <c r="O11" s="24">
        <f t="shared" si="1"/>
        <v>864</v>
      </c>
      <c r="P11" s="24">
        <f t="shared" si="1"/>
        <v>19397</v>
      </c>
      <c r="Q11" s="24">
        <f t="shared" si="1"/>
        <v>-195</v>
      </c>
      <c r="R11" s="24">
        <f t="shared" si="1"/>
        <v>765</v>
      </c>
      <c r="S11" s="24">
        <f t="shared" si="1"/>
        <v>-5336</v>
      </c>
      <c r="T11" s="24">
        <f t="shared" si="1"/>
        <v>-49</v>
      </c>
      <c r="U11" s="24">
        <f t="shared" si="1"/>
        <v>216306</v>
      </c>
      <c r="V11" s="24">
        <f t="shared" si="1"/>
        <v>223385</v>
      </c>
    </row>
    <row r="12" spans="1:22" x14ac:dyDescent="0.25">
      <c r="A12" t="s">
        <v>372</v>
      </c>
      <c r="B12" s="42">
        <f>Iochpe_Trimestral!B96</f>
        <v>0</v>
      </c>
      <c r="C12" s="42">
        <f>Iochpe_Trimestral!C96</f>
        <v>0</v>
      </c>
      <c r="D12" s="42">
        <f>Iochpe_Trimestral!D96</f>
        <v>0</v>
      </c>
      <c r="E12" s="42">
        <f>Iochpe_Trimestral!E96</f>
        <v>0</v>
      </c>
      <c r="F12" s="42">
        <f>Iochpe_Trimestral!F96</f>
        <v>0</v>
      </c>
      <c r="G12" s="42">
        <f>Iochpe_Trimestral!G96</f>
        <v>0</v>
      </c>
      <c r="H12" s="42">
        <f>Iochpe_Trimestral!H96</f>
        <v>0</v>
      </c>
      <c r="I12" s="42">
        <f>Iochpe_Trimestral!I96</f>
        <v>0</v>
      </c>
      <c r="J12" s="42">
        <f>Iochpe_Trimestral!J96</f>
        <v>0</v>
      </c>
      <c r="K12" s="42">
        <f>Iochpe_Trimestral!K96</f>
        <v>0</v>
      </c>
      <c r="L12" s="23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5"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t="s">
        <v>373</v>
      </c>
      <c r="B14" s="43">
        <f>SUM(B15:B17)</f>
        <v>2294307000</v>
      </c>
      <c r="C14" s="43">
        <f t="shared" ref="C14:K14" si="3">SUM(C15:C17)</f>
        <v>2249630000</v>
      </c>
      <c r="D14" s="43">
        <f t="shared" si="3"/>
        <v>2634029000</v>
      </c>
      <c r="E14" s="43">
        <f t="shared" si="3"/>
        <v>2412886000</v>
      </c>
      <c r="F14" s="43">
        <f t="shared" si="3"/>
        <v>2837467000</v>
      </c>
      <c r="G14" s="43">
        <f t="shared" si="3"/>
        <v>3200463000</v>
      </c>
      <c r="H14" s="43">
        <f t="shared" si="3"/>
        <v>3043845000</v>
      </c>
      <c r="I14" s="43">
        <f t="shared" si="3"/>
        <v>3212825000</v>
      </c>
      <c r="J14" s="43">
        <f t="shared" si="3"/>
        <v>2263046000</v>
      </c>
      <c r="K14" s="43">
        <f t="shared" si="3"/>
        <v>3574364000</v>
      </c>
      <c r="L14" s="23"/>
      <c r="M14" s="24">
        <f>B14/1000</f>
        <v>2294307</v>
      </c>
      <c r="N14" s="24">
        <f t="shared" ref="N14:V16" si="4">C14/1000</f>
        <v>2249630</v>
      </c>
      <c r="O14" s="24">
        <f t="shared" si="4"/>
        <v>2634029</v>
      </c>
      <c r="P14" s="24">
        <f t="shared" si="4"/>
        <v>2412886</v>
      </c>
      <c r="Q14" s="24">
        <f t="shared" si="4"/>
        <v>2837467</v>
      </c>
      <c r="R14" s="24">
        <f t="shared" si="4"/>
        <v>3200463</v>
      </c>
      <c r="S14" s="24">
        <f t="shared" si="4"/>
        <v>3043845</v>
      </c>
      <c r="T14" s="24">
        <f t="shared" si="4"/>
        <v>3212825</v>
      </c>
      <c r="U14" s="24">
        <f t="shared" si="4"/>
        <v>2263046</v>
      </c>
      <c r="V14" s="24">
        <f t="shared" si="4"/>
        <v>3574364</v>
      </c>
    </row>
    <row r="15" spans="1:22" x14ac:dyDescent="0.25">
      <c r="A15" t="s">
        <v>374</v>
      </c>
      <c r="B15" s="43">
        <f>Iochpe_Trimestral!B125</f>
        <v>1404227000</v>
      </c>
      <c r="C15" s="43">
        <f>Iochpe_Trimestral!C125</f>
        <v>1358854000</v>
      </c>
      <c r="D15" s="43">
        <f>Iochpe_Trimestral!D125</f>
        <v>1394744000</v>
      </c>
      <c r="E15" s="43">
        <f>Iochpe_Trimestral!E125</f>
        <v>1173173000</v>
      </c>
      <c r="F15" s="43">
        <f>Iochpe_Trimestral!F125</f>
        <v>1597034000</v>
      </c>
      <c r="G15" s="43">
        <f>Iochpe_Trimestral!G125</f>
        <v>1959363000</v>
      </c>
      <c r="H15" s="43">
        <f>Iochpe_Trimestral!H125</f>
        <v>1808730000</v>
      </c>
      <c r="I15" s="43">
        <f>Iochpe_Trimestral!I125</f>
        <v>1983098000</v>
      </c>
      <c r="J15" s="43">
        <f>Iochpe_Trimestral!J125</f>
        <v>1255255000</v>
      </c>
      <c r="K15" s="43">
        <f>Iochpe_Trimestral!K125</f>
        <v>2574417000</v>
      </c>
      <c r="L15" s="23"/>
      <c r="M15" s="24">
        <f>B15/1000</f>
        <v>1404227</v>
      </c>
      <c r="N15" s="24">
        <f t="shared" si="4"/>
        <v>1358854</v>
      </c>
      <c r="O15" s="24">
        <f t="shared" si="4"/>
        <v>1394744</v>
      </c>
      <c r="P15" s="24">
        <f t="shared" si="4"/>
        <v>1173173</v>
      </c>
      <c r="Q15" s="24">
        <f t="shared" si="4"/>
        <v>1597034</v>
      </c>
      <c r="R15" s="24">
        <f t="shared" si="4"/>
        <v>1959363</v>
      </c>
      <c r="S15" s="24">
        <f t="shared" si="4"/>
        <v>1808730</v>
      </c>
      <c r="T15" s="24">
        <f t="shared" si="4"/>
        <v>1983098</v>
      </c>
      <c r="U15" s="24">
        <f t="shared" si="4"/>
        <v>1255255</v>
      </c>
      <c r="V15" s="24">
        <f t="shared" si="4"/>
        <v>2574417</v>
      </c>
    </row>
    <row r="16" spans="1:22" x14ac:dyDescent="0.25">
      <c r="A16" t="s">
        <v>375</v>
      </c>
      <c r="B16" s="43">
        <f>Iochpe_Trimestral!B128</f>
        <v>890080000</v>
      </c>
      <c r="C16" s="43">
        <f>Iochpe_Trimestral!C128</f>
        <v>890776000</v>
      </c>
      <c r="D16" s="43">
        <f>Iochpe_Trimestral!D128</f>
        <v>1239285000</v>
      </c>
      <c r="E16" s="43">
        <f>Iochpe_Trimestral!E128</f>
        <v>1239713000</v>
      </c>
      <c r="F16" s="43">
        <f>Iochpe_Trimestral!F128</f>
        <v>1240433000</v>
      </c>
      <c r="G16" s="43">
        <f>Iochpe_Trimestral!G128</f>
        <v>1241100000</v>
      </c>
      <c r="H16" s="43">
        <f>Iochpe_Trimestral!H128</f>
        <v>1235115000</v>
      </c>
      <c r="I16" s="43">
        <f>Iochpe_Trimestral!I128</f>
        <v>1229727000</v>
      </c>
      <c r="J16" s="43">
        <f>Iochpe_Trimestral!J128</f>
        <v>1007791000</v>
      </c>
      <c r="K16" s="43">
        <f>Iochpe_Trimestral!K128</f>
        <v>999947000</v>
      </c>
      <c r="L16" s="23"/>
      <c r="M16" s="24">
        <f>B16/1000</f>
        <v>890080</v>
      </c>
      <c r="N16" s="24">
        <f t="shared" si="4"/>
        <v>890776</v>
      </c>
      <c r="O16" s="24">
        <f t="shared" si="4"/>
        <v>1239285</v>
      </c>
      <c r="P16" s="24">
        <f t="shared" si="4"/>
        <v>1239713</v>
      </c>
      <c r="Q16" s="24">
        <f t="shared" si="4"/>
        <v>1240433</v>
      </c>
      <c r="R16" s="24">
        <f t="shared" si="4"/>
        <v>1241100</v>
      </c>
      <c r="S16" s="24">
        <f t="shared" si="4"/>
        <v>1235115</v>
      </c>
      <c r="T16" s="24">
        <f t="shared" si="4"/>
        <v>1229727</v>
      </c>
      <c r="U16" s="24">
        <f t="shared" si="4"/>
        <v>1007791</v>
      </c>
      <c r="V16" s="24">
        <f t="shared" si="4"/>
        <v>999947</v>
      </c>
    </row>
    <row r="17" spans="1:33" x14ac:dyDescent="0.25">
      <c r="A17" t="s">
        <v>376</v>
      </c>
      <c r="B17" s="43">
        <f>Iochpe_Trimestral!B129</f>
        <v>0</v>
      </c>
      <c r="C17" s="43">
        <f>Iochpe_Trimestral!C129</f>
        <v>0</v>
      </c>
      <c r="D17" s="43">
        <f>Iochpe_Trimestral!D129</f>
        <v>0</v>
      </c>
      <c r="E17" s="43">
        <f>Iochpe_Trimestral!E129</f>
        <v>0</v>
      </c>
      <c r="F17" s="43">
        <f>Iochpe_Trimestral!F129</f>
        <v>0</v>
      </c>
      <c r="G17" s="43">
        <f>Iochpe_Trimestral!G129</f>
        <v>0</v>
      </c>
      <c r="H17" s="43">
        <f>Iochpe_Trimestral!H129</f>
        <v>0</v>
      </c>
      <c r="I17" s="43">
        <f>Iochpe_Trimestral!I129</f>
        <v>0</v>
      </c>
      <c r="J17" s="43">
        <f>Iochpe_Trimestral!J129</f>
        <v>0</v>
      </c>
      <c r="K17" s="43">
        <f>Iochpe_Trimestral!K129</f>
        <v>0</v>
      </c>
      <c r="L17" s="23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33" x14ac:dyDescent="0.25"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33" x14ac:dyDescent="0.25">
      <c r="A19" t="s">
        <v>377</v>
      </c>
      <c r="B19" s="44">
        <f>B9+B14</f>
        <v>3162255000</v>
      </c>
      <c r="C19" s="44">
        <f t="shared" ref="C19:K19" si="5">C9+C14</f>
        <v>2993567000</v>
      </c>
      <c r="D19" s="44">
        <f t="shared" si="5"/>
        <v>3359484000</v>
      </c>
      <c r="E19" s="44">
        <f t="shared" si="5"/>
        <v>3061583000</v>
      </c>
      <c r="F19" s="44">
        <f t="shared" si="5"/>
        <v>4300040000</v>
      </c>
      <c r="G19" s="44">
        <f t="shared" si="5"/>
        <v>5028740000</v>
      </c>
      <c r="H19" s="44">
        <f t="shared" si="5"/>
        <v>5380264000</v>
      </c>
      <c r="I19" s="44">
        <f t="shared" si="5"/>
        <v>5120389000</v>
      </c>
      <c r="J19" s="44">
        <f t="shared" si="5"/>
        <v>5566202000</v>
      </c>
      <c r="K19" s="44">
        <f t="shared" si="5"/>
        <v>5373144000</v>
      </c>
      <c r="L19" s="24"/>
      <c r="M19" s="24">
        <f>B19/1000</f>
        <v>3162255</v>
      </c>
      <c r="N19" s="24">
        <f t="shared" ref="N19:V19" si="6">C19/1000</f>
        <v>2993567</v>
      </c>
      <c r="O19" s="24">
        <f t="shared" si="6"/>
        <v>3359484</v>
      </c>
      <c r="P19" s="24">
        <f t="shared" si="6"/>
        <v>3061583</v>
      </c>
      <c r="Q19" s="24">
        <f t="shared" si="6"/>
        <v>4300040</v>
      </c>
      <c r="R19" s="24">
        <f t="shared" si="6"/>
        <v>5028740</v>
      </c>
      <c r="S19" s="24">
        <f t="shared" si="6"/>
        <v>5380264</v>
      </c>
      <c r="T19" s="24">
        <f t="shared" si="6"/>
        <v>5120389</v>
      </c>
      <c r="U19" s="24">
        <f t="shared" si="6"/>
        <v>5566202</v>
      </c>
      <c r="V19" s="24">
        <f t="shared" si="6"/>
        <v>5373144</v>
      </c>
      <c r="Y19" s="24">
        <f>M19</f>
        <v>3162255</v>
      </c>
      <c r="Z19" s="24">
        <f t="shared" ref="Z19:AG19" si="7">O19</f>
        <v>3359484</v>
      </c>
      <c r="AA19" s="24">
        <f t="shared" si="7"/>
        <v>3061583</v>
      </c>
      <c r="AB19" s="24">
        <f t="shared" si="7"/>
        <v>4300040</v>
      </c>
      <c r="AC19" s="24">
        <f t="shared" si="7"/>
        <v>5028740</v>
      </c>
      <c r="AD19" s="24">
        <f t="shared" si="7"/>
        <v>5380264</v>
      </c>
      <c r="AE19" s="24">
        <f t="shared" si="7"/>
        <v>5120389</v>
      </c>
      <c r="AF19" s="24">
        <f t="shared" si="7"/>
        <v>5566202</v>
      </c>
      <c r="AG19" s="24">
        <f t="shared" si="7"/>
        <v>5373144</v>
      </c>
    </row>
    <row r="20" spans="1:33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33" x14ac:dyDescent="0.25">
      <c r="A21" t="s">
        <v>378</v>
      </c>
      <c r="B21" s="25">
        <f>B9/B19</f>
        <v>0.27447122385765854</v>
      </c>
      <c r="C21" s="25">
        <f t="shared" ref="C21:K21" si="8">C9/C19</f>
        <v>0.24851189233446253</v>
      </c>
      <c r="D21" s="25">
        <f t="shared" si="8"/>
        <v>0.21594238877160898</v>
      </c>
      <c r="E21" s="25">
        <f t="shared" si="8"/>
        <v>0.21188287235720868</v>
      </c>
      <c r="F21" s="25">
        <f t="shared" si="8"/>
        <v>0.34013009181309939</v>
      </c>
      <c r="G21" s="25">
        <f t="shared" si="8"/>
        <v>0.36356562478871446</v>
      </c>
      <c r="H21" s="25">
        <f t="shared" si="8"/>
        <v>0.43425731525441874</v>
      </c>
      <c r="I21" s="25">
        <f t="shared" si="8"/>
        <v>0.37254278922949019</v>
      </c>
      <c r="J21" s="25">
        <f t="shared" si="8"/>
        <v>0.59343085285083075</v>
      </c>
      <c r="K21" s="25">
        <f t="shared" si="8"/>
        <v>0.33477234185422911</v>
      </c>
      <c r="L21" s="24"/>
      <c r="M21" s="25">
        <f>B21</f>
        <v>0.27447122385765854</v>
      </c>
      <c r="N21" s="25">
        <f t="shared" ref="N21:V21" si="9">C21</f>
        <v>0.24851189233446253</v>
      </c>
      <c r="O21" s="25">
        <f t="shared" si="9"/>
        <v>0.21594238877160898</v>
      </c>
      <c r="P21" s="25">
        <f t="shared" si="9"/>
        <v>0.21188287235720868</v>
      </c>
      <c r="Q21" s="25">
        <f t="shared" si="9"/>
        <v>0.34013009181309939</v>
      </c>
      <c r="R21" s="25">
        <f t="shared" si="9"/>
        <v>0.36356562478871446</v>
      </c>
      <c r="S21" s="25">
        <f t="shared" si="9"/>
        <v>0.43425731525441874</v>
      </c>
      <c r="T21" s="25">
        <f t="shared" si="9"/>
        <v>0.37254278922949019</v>
      </c>
      <c r="U21" s="25">
        <f t="shared" si="9"/>
        <v>0.59343085285083075</v>
      </c>
      <c r="V21" s="25">
        <f t="shared" si="9"/>
        <v>0.33477234185422911</v>
      </c>
    </row>
    <row r="22" spans="1:33" x14ac:dyDescent="0.25"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33" x14ac:dyDescent="0.25">
      <c r="A23" t="s">
        <v>379</v>
      </c>
      <c r="B23" s="44">
        <f>SUM(B24:B25)</f>
        <v>435074000</v>
      </c>
      <c r="C23" s="44">
        <f t="shared" ref="C23:K23" si="10">SUM(C24:C25)</f>
        <v>353039000</v>
      </c>
      <c r="D23" s="44">
        <f t="shared" si="10"/>
        <v>671381000</v>
      </c>
      <c r="E23" s="44">
        <f t="shared" si="10"/>
        <v>646137000</v>
      </c>
      <c r="F23" s="44">
        <f t="shared" si="10"/>
        <v>1133921000</v>
      </c>
      <c r="G23" s="44">
        <f t="shared" si="10"/>
        <v>1392574000</v>
      </c>
      <c r="H23" s="44">
        <f t="shared" si="10"/>
        <v>1641643000</v>
      </c>
      <c r="I23" s="44">
        <f t="shared" si="10"/>
        <v>1605439000</v>
      </c>
      <c r="J23" s="44">
        <f t="shared" si="10"/>
        <v>1508930000</v>
      </c>
      <c r="K23" s="44">
        <f t="shared" si="10"/>
        <v>1355258000</v>
      </c>
      <c r="M23" s="24">
        <f>B23/1000</f>
        <v>435074</v>
      </c>
      <c r="N23" s="24">
        <f t="shared" ref="N23:V25" si="11">C23/1000</f>
        <v>353039</v>
      </c>
      <c r="O23" s="24">
        <f t="shared" si="11"/>
        <v>671381</v>
      </c>
      <c r="P23" s="24">
        <f t="shared" si="11"/>
        <v>646137</v>
      </c>
      <c r="Q23" s="24">
        <f t="shared" si="11"/>
        <v>1133921</v>
      </c>
      <c r="R23" s="24">
        <f t="shared" si="11"/>
        <v>1392574</v>
      </c>
      <c r="S23" s="24">
        <f t="shared" si="11"/>
        <v>1641643</v>
      </c>
      <c r="T23" s="24">
        <f t="shared" si="11"/>
        <v>1605439</v>
      </c>
      <c r="U23" s="24">
        <f t="shared" si="11"/>
        <v>1508930</v>
      </c>
      <c r="V23" s="24">
        <f t="shared" si="11"/>
        <v>1355258</v>
      </c>
      <c r="Y23" s="24">
        <f>M23</f>
        <v>435074</v>
      </c>
      <c r="Z23" s="24">
        <f t="shared" ref="Z23:AG23" si="12">O23</f>
        <v>671381</v>
      </c>
      <c r="AA23" s="24">
        <f t="shared" si="12"/>
        <v>646137</v>
      </c>
      <c r="AB23" s="24">
        <f t="shared" si="12"/>
        <v>1133921</v>
      </c>
      <c r="AC23" s="24">
        <f t="shared" si="12"/>
        <v>1392574</v>
      </c>
      <c r="AD23" s="24">
        <f t="shared" si="12"/>
        <v>1641643</v>
      </c>
      <c r="AE23" s="24">
        <f t="shared" si="12"/>
        <v>1605439</v>
      </c>
      <c r="AF23" s="24">
        <f t="shared" si="12"/>
        <v>1508930</v>
      </c>
      <c r="AG23" s="24">
        <f t="shared" si="12"/>
        <v>1355258</v>
      </c>
    </row>
    <row r="24" spans="1:33" x14ac:dyDescent="0.25">
      <c r="A24" t="s">
        <v>380</v>
      </c>
      <c r="B24" s="44">
        <f>Iochpe_Trimestral!B12</f>
        <v>435074000</v>
      </c>
      <c r="C24" s="44">
        <f>Iochpe_Trimestral!C12</f>
        <v>353039000</v>
      </c>
      <c r="D24" s="44">
        <f>Iochpe_Trimestral!D12</f>
        <v>671381000</v>
      </c>
      <c r="E24" s="44">
        <f>Iochpe_Trimestral!E12</f>
        <v>646137000</v>
      </c>
      <c r="F24" s="44">
        <f>Iochpe_Trimestral!F12</f>
        <v>1133921000</v>
      </c>
      <c r="G24" s="44">
        <f>Iochpe_Trimestral!G12</f>
        <v>1392574000</v>
      </c>
      <c r="H24" s="44">
        <f>Iochpe_Trimestral!H12</f>
        <v>1641643000</v>
      </c>
      <c r="I24" s="44">
        <f>Iochpe_Trimestral!I12</f>
        <v>1605439000</v>
      </c>
      <c r="J24" s="44">
        <f>Iochpe_Trimestral!J12</f>
        <v>1508930000</v>
      </c>
      <c r="K24" s="44">
        <f>Iochpe_Trimestral!K12</f>
        <v>1355258000</v>
      </c>
      <c r="M24" s="24">
        <f>B24/1000</f>
        <v>435074</v>
      </c>
      <c r="N24" s="24">
        <f t="shared" si="11"/>
        <v>353039</v>
      </c>
      <c r="O24" s="24">
        <f t="shared" si="11"/>
        <v>671381</v>
      </c>
      <c r="P24" s="24">
        <f t="shared" si="11"/>
        <v>646137</v>
      </c>
      <c r="Q24" s="24">
        <f t="shared" si="11"/>
        <v>1133921</v>
      </c>
      <c r="R24" s="24">
        <f t="shared" si="11"/>
        <v>1392574</v>
      </c>
      <c r="S24" s="24">
        <f t="shared" si="11"/>
        <v>1641643</v>
      </c>
      <c r="T24" s="24">
        <f t="shared" si="11"/>
        <v>1605439</v>
      </c>
      <c r="U24" s="24">
        <f t="shared" si="11"/>
        <v>1508930</v>
      </c>
      <c r="V24" s="24">
        <f t="shared" si="11"/>
        <v>1355258</v>
      </c>
    </row>
    <row r="25" spans="1:33" x14ac:dyDescent="0.25">
      <c r="A25" t="s">
        <v>381</v>
      </c>
      <c r="B25" s="44">
        <f>Iochpe_Trimestral!B13</f>
        <v>0</v>
      </c>
      <c r="C25" s="44">
        <f>Iochpe_Trimestral!C13</f>
        <v>0</v>
      </c>
      <c r="D25" s="44">
        <f>Iochpe_Trimestral!D13</f>
        <v>0</v>
      </c>
      <c r="E25" s="44">
        <f>Iochpe_Trimestral!E13</f>
        <v>0</v>
      </c>
      <c r="F25" s="44">
        <f>Iochpe_Trimestral!F13</f>
        <v>0</v>
      </c>
      <c r="G25" s="44">
        <f>Iochpe_Trimestral!G13</f>
        <v>0</v>
      </c>
      <c r="H25" s="44">
        <f>Iochpe_Trimestral!H13</f>
        <v>0</v>
      </c>
      <c r="I25" s="44">
        <f>Iochpe_Trimestral!I13</f>
        <v>0</v>
      </c>
      <c r="J25" s="44">
        <f>Iochpe_Trimestral!J13</f>
        <v>0</v>
      </c>
      <c r="K25" s="44">
        <f>Iochpe_Trimestral!K13</f>
        <v>0</v>
      </c>
      <c r="M25" s="24">
        <f>B25/1000</f>
        <v>0</v>
      </c>
      <c r="N25" s="24">
        <f t="shared" si="11"/>
        <v>0</v>
      </c>
      <c r="O25" s="24">
        <f t="shared" si="11"/>
        <v>0</v>
      </c>
      <c r="P25" s="24">
        <f t="shared" si="11"/>
        <v>0</v>
      </c>
      <c r="Q25" s="24">
        <f t="shared" si="11"/>
        <v>0</v>
      </c>
      <c r="R25" s="24">
        <f t="shared" si="11"/>
        <v>0</v>
      </c>
      <c r="S25" s="24">
        <f t="shared" si="11"/>
        <v>0</v>
      </c>
      <c r="T25" s="24">
        <f t="shared" si="11"/>
        <v>0</v>
      </c>
      <c r="U25" s="24">
        <f t="shared" si="11"/>
        <v>0</v>
      </c>
      <c r="V25" s="24">
        <f t="shared" si="11"/>
        <v>0</v>
      </c>
    </row>
    <row r="26" spans="1:33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33" x14ac:dyDescent="0.25">
      <c r="A27" t="s">
        <v>382</v>
      </c>
      <c r="B27" s="44">
        <f>Iochpe_Trimestral!B28</f>
        <v>27177000</v>
      </c>
      <c r="C27" s="44">
        <f>Iochpe_Trimestral!C28</f>
        <v>25991000</v>
      </c>
      <c r="D27" s="44">
        <f>Iochpe_Trimestral!D28</f>
        <v>23565000</v>
      </c>
      <c r="E27" s="44">
        <f>Iochpe_Trimestral!E28</f>
        <v>20210000</v>
      </c>
      <c r="F27" s="44">
        <f>Iochpe_Trimestral!F28</f>
        <v>46607000</v>
      </c>
      <c r="G27" s="44">
        <f>Iochpe_Trimestral!G28</f>
        <v>48608000</v>
      </c>
      <c r="H27" s="44">
        <f>Iochpe_Trimestral!H28</f>
        <v>50855000</v>
      </c>
      <c r="I27" s="44">
        <f>Iochpe_Trimestral!I28</f>
        <v>49145000</v>
      </c>
      <c r="J27" s="44">
        <f>Iochpe_Trimestral!J28</f>
        <v>55688000</v>
      </c>
      <c r="K27" s="44">
        <f>Iochpe_Trimestral!K28</f>
        <v>55849000</v>
      </c>
      <c r="M27" s="24">
        <f>B27/1000</f>
        <v>27177</v>
      </c>
      <c r="N27" s="24">
        <f t="shared" ref="N27:V27" si="13">C27/1000</f>
        <v>25991</v>
      </c>
      <c r="O27" s="24">
        <f t="shared" si="13"/>
        <v>23565</v>
      </c>
      <c r="P27" s="24">
        <f t="shared" si="13"/>
        <v>20210</v>
      </c>
      <c r="Q27" s="24">
        <f t="shared" si="13"/>
        <v>46607</v>
      </c>
      <c r="R27" s="24">
        <f t="shared" si="13"/>
        <v>48608</v>
      </c>
      <c r="S27" s="24">
        <f t="shared" si="13"/>
        <v>50855</v>
      </c>
      <c r="T27" s="24">
        <f t="shared" si="13"/>
        <v>49145</v>
      </c>
      <c r="U27" s="24">
        <f t="shared" si="13"/>
        <v>55688</v>
      </c>
      <c r="V27" s="24">
        <f t="shared" si="13"/>
        <v>55849</v>
      </c>
    </row>
    <row r="28" spans="1:33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33" x14ac:dyDescent="0.25">
      <c r="A29" t="s">
        <v>383</v>
      </c>
      <c r="B29" s="44">
        <f>B19 - B24 - B25</f>
        <v>2727181000</v>
      </c>
      <c r="C29" s="44">
        <f t="shared" ref="C29:K29" si="14">C19 - C24 - C25</f>
        <v>2640528000</v>
      </c>
      <c r="D29" s="44">
        <f t="shared" si="14"/>
        <v>2688103000</v>
      </c>
      <c r="E29" s="44">
        <f t="shared" si="14"/>
        <v>2415446000</v>
      </c>
      <c r="F29" s="44">
        <f t="shared" si="14"/>
        <v>3166119000</v>
      </c>
      <c r="G29" s="44">
        <f t="shared" si="14"/>
        <v>3636166000</v>
      </c>
      <c r="H29" s="44">
        <f t="shared" si="14"/>
        <v>3738621000</v>
      </c>
      <c r="I29" s="44">
        <f t="shared" si="14"/>
        <v>3514950000</v>
      </c>
      <c r="J29" s="44">
        <f t="shared" si="14"/>
        <v>4057272000</v>
      </c>
      <c r="K29" s="44">
        <f t="shared" si="14"/>
        <v>4017886000</v>
      </c>
      <c r="M29" s="24">
        <f>B29/1000</f>
        <v>2727181</v>
      </c>
      <c r="N29" s="24">
        <f t="shared" ref="N29:V29" si="15">C29/1000</f>
        <v>2640528</v>
      </c>
      <c r="O29" s="24">
        <f t="shared" si="15"/>
        <v>2688103</v>
      </c>
      <c r="P29" s="24">
        <f t="shared" si="15"/>
        <v>2415446</v>
      </c>
      <c r="Q29" s="24">
        <f t="shared" si="15"/>
        <v>3166119</v>
      </c>
      <c r="R29" s="24">
        <f t="shared" si="15"/>
        <v>3636166</v>
      </c>
      <c r="S29" s="24">
        <f t="shared" si="15"/>
        <v>3738621</v>
      </c>
      <c r="T29" s="24">
        <f t="shared" si="15"/>
        <v>3514950</v>
      </c>
      <c r="U29" s="24">
        <f t="shared" si="15"/>
        <v>4057272</v>
      </c>
      <c r="V29" s="24">
        <f t="shared" si="15"/>
        <v>4017886</v>
      </c>
      <c r="Y29" s="24">
        <f>M29</f>
        <v>2727181</v>
      </c>
      <c r="Z29" s="24">
        <f t="shared" ref="Z29:AG29" si="16">O29</f>
        <v>2688103</v>
      </c>
      <c r="AA29" s="24">
        <f t="shared" si="16"/>
        <v>2415446</v>
      </c>
      <c r="AB29" s="24">
        <f t="shared" si="16"/>
        <v>3166119</v>
      </c>
      <c r="AC29" s="24">
        <f t="shared" si="16"/>
        <v>3636166</v>
      </c>
      <c r="AD29" s="24">
        <f t="shared" si="16"/>
        <v>3738621</v>
      </c>
      <c r="AE29" s="24">
        <f t="shared" si="16"/>
        <v>3514950</v>
      </c>
      <c r="AF29" s="24">
        <f t="shared" si="16"/>
        <v>4057272</v>
      </c>
      <c r="AG29" s="24">
        <f t="shared" si="16"/>
        <v>4017886</v>
      </c>
    </row>
    <row r="30" spans="1:33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33" x14ac:dyDescent="0.25"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33" x14ac:dyDescent="0.25">
      <c r="A32" t="s">
        <v>384</v>
      </c>
      <c r="B32" s="44">
        <f>Iochpe_Trimestral!B10</f>
        <v>9440143000</v>
      </c>
      <c r="C32" s="44">
        <f>Iochpe_Trimestral!C10</f>
        <v>9236750000</v>
      </c>
      <c r="D32" s="44">
        <f>Iochpe_Trimestral!D10</f>
        <v>10022525000</v>
      </c>
      <c r="E32" s="44">
        <f>Iochpe_Trimestral!E10</f>
        <v>9375411000</v>
      </c>
      <c r="F32" s="44">
        <f>Iochpe_Trimestral!F10</f>
        <v>11717177000</v>
      </c>
      <c r="G32" s="44">
        <f>Iochpe_Trimestral!G10</f>
        <v>11892587000</v>
      </c>
      <c r="H32" s="44">
        <f>Iochpe_Trimestral!H10</f>
        <v>13010400000</v>
      </c>
      <c r="I32" s="44">
        <f>Iochpe_Trimestral!I10</f>
        <v>12411803000</v>
      </c>
      <c r="J32" s="44">
        <f>Iochpe_Trimestral!J10</f>
        <v>13652232000</v>
      </c>
      <c r="K32" s="44">
        <f>Iochpe_Trimestral!K10</f>
        <v>13203278000</v>
      </c>
      <c r="L32" s="24"/>
      <c r="M32" s="24">
        <f>B32/1000</f>
        <v>9440143</v>
      </c>
      <c r="N32" s="24">
        <f t="shared" ref="N32:V44" si="17">C32/1000</f>
        <v>9236750</v>
      </c>
      <c r="O32" s="24">
        <f t="shared" si="17"/>
        <v>10022525</v>
      </c>
      <c r="P32" s="24">
        <f t="shared" si="17"/>
        <v>9375411</v>
      </c>
      <c r="Q32" s="24">
        <f t="shared" si="17"/>
        <v>11717177</v>
      </c>
      <c r="R32" s="24">
        <f t="shared" si="17"/>
        <v>11892587</v>
      </c>
      <c r="S32" s="24">
        <f t="shared" si="17"/>
        <v>13010400</v>
      </c>
      <c r="T32" s="24">
        <f t="shared" si="17"/>
        <v>12411803</v>
      </c>
      <c r="U32" s="24">
        <f t="shared" si="17"/>
        <v>13652232</v>
      </c>
      <c r="V32" s="24">
        <f t="shared" si="17"/>
        <v>13203278</v>
      </c>
    </row>
    <row r="33" spans="1:33" x14ac:dyDescent="0.25">
      <c r="A33" t="s">
        <v>385</v>
      </c>
      <c r="B33" s="44">
        <f>Iochpe_Trimestral!B11</f>
        <v>3799311000</v>
      </c>
      <c r="C33" s="44">
        <f>Iochpe_Trimestral!C11</f>
        <v>3616236000</v>
      </c>
      <c r="D33" s="44">
        <f>Iochpe_Trimestral!D11</f>
        <v>3976211000</v>
      </c>
      <c r="E33" s="44">
        <f>Iochpe_Trimestral!E11</f>
        <v>3357621000</v>
      </c>
      <c r="F33" s="44">
        <f>Iochpe_Trimestral!F11</f>
        <v>4526247000</v>
      </c>
      <c r="G33" s="44">
        <f>Iochpe_Trimestral!G11</f>
        <v>4372292000</v>
      </c>
      <c r="H33" s="44">
        <f>Iochpe_Trimestral!H11</f>
        <v>5278408000</v>
      </c>
      <c r="I33" s="44">
        <f>Iochpe_Trimestral!I11</f>
        <v>5161926000</v>
      </c>
      <c r="J33" s="44">
        <f>Iochpe_Trimestral!J11</f>
        <v>6054354000</v>
      </c>
      <c r="K33" s="44">
        <f>Iochpe_Trimestral!K11</f>
        <v>6208374000</v>
      </c>
      <c r="L33" s="24"/>
      <c r="M33" s="24">
        <f t="shared" ref="M33:M44" si="18">B33/1000</f>
        <v>3799311</v>
      </c>
      <c r="N33" s="24">
        <f t="shared" si="17"/>
        <v>3616236</v>
      </c>
      <c r="O33" s="24">
        <f t="shared" si="17"/>
        <v>3976211</v>
      </c>
      <c r="P33" s="24">
        <f t="shared" si="17"/>
        <v>3357621</v>
      </c>
      <c r="Q33" s="24">
        <f t="shared" si="17"/>
        <v>4526247</v>
      </c>
      <c r="R33" s="24">
        <f t="shared" si="17"/>
        <v>4372292</v>
      </c>
      <c r="S33" s="24">
        <f t="shared" si="17"/>
        <v>5278408</v>
      </c>
      <c r="T33" s="24">
        <f t="shared" si="17"/>
        <v>5161926</v>
      </c>
      <c r="U33" s="24">
        <f t="shared" si="17"/>
        <v>6054354</v>
      </c>
      <c r="V33" s="24">
        <f t="shared" si="17"/>
        <v>6208374</v>
      </c>
    </row>
    <row r="34" spans="1:33" x14ac:dyDescent="0.25">
      <c r="A34" t="s">
        <v>468</v>
      </c>
      <c r="B34" s="44">
        <f>Iochpe_Trimestral!B12</f>
        <v>435074000</v>
      </c>
      <c r="C34" s="44">
        <f>Iochpe_Trimestral!C12</f>
        <v>353039000</v>
      </c>
      <c r="D34" s="44">
        <f>Iochpe_Trimestral!D12</f>
        <v>671381000</v>
      </c>
      <c r="E34" s="44">
        <f>Iochpe_Trimestral!E12</f>
        <v>646137000</v>
      </c>
      <c r="F34" s="44">
        <f>Iochpe_Trimestral!F12</f>
        <v>1133921000</v>
      </c>
      <c r="G34" s="44">
        <f>Iochpe_Trimestral!G12</f>
        <v>1392574000</v>
      </c>
      <c r="H34" s="44">
        <f>Iochpe_Trimestral!H12</f>
        <v>1641643000</v>
      </c>
      <c r="I34" s="44">
        <f>Iochpe_Trimestral!I12</f>
        <v>1605439000</v>
      </c>
      <c r="J34" s="44">
        <f>Iochpe_Trimestral!J12</f>
        <v>1508930000</v>
      </c>
      <c r="K34" s="44">
        <f>Iochpe_Trimestral!K12</f>
        <v>1355258000</v>
      </c>
      <c r="L34" s="24"/>
      <c r="M34" s="24">
        <f t="shared" si="18"/>
        <v>435074</v>
      </c>
      <c r="N34" s="24">
        <f t="shared" si="17"/>
        <v>353039</v>
      </c>
      <c r="O34" s="24">
        <f t="shared" si="17"/>
        <v>671381</v>
      </c>
      <c r="P34" s="24">
        <f t="shared" si="17"/>
        <v>646137</v>
      </c>
      <c r="Q34" s="24">
        <f t="shared" si="17"/>
        <v>1133921</v>
      </c>
      <c r="R34" s="24">
        <f t="shared" si="17"/>
        <v>1392574</v>
      </c>
      <c r="S34" s="24">
        <f t="shared" si="17"/>
        <v>1641643</v>
      </c>
      <c r="T34" s="24">
        <f t="shared" si="17"/>
        <v>1605439</v>
      </c>
      <c r="U34" s="24">
        <f t="shared" si="17"/>
        <v>1508930</v>
      </c>
      <c r="V34" s="24">
        <f t="shared" si="17"/>
        <v>1355258</v>
      </c>
    </row>
    <row r="35" spans="1:33" x14ac:dyDescent="0.25">
      <c r="A35" t="s">
        <v>469</v>
      </c>
      <c r="B35" s="44">
        <f>IF(ISBLANK(Iochpe_Trimestral!B16),0,Iochpe_Trimestral!B16)</f>
        <v>0</v>
      </c>
      <c r="C35" s="44">
        <f>IF(ISBLANK(Iochpe_Trimestral!C16),0,Iochpe_Trimestral!C16)</f>
        <v>0</v>
      </c>
      <c r="D35" s="44">
        <f>IF(ISBLANK(Iochpe_Trimestral!D16),0,Iochpe_Trimestral!D16)</f>
        <v>0</v>
      </c>
      <c r="E35" s="44">
        <f>IF(ISBLANK(Iochpe_Trimestral!E16),0,Iochpe_Trimestral!E16)</f>
        <v>0</v>
      </c>
      <c r="F35" s="44">
        <f>IF(ISBLANK(Iochpe_Trimestral!F16),0,Iochpe_Trimestral!F16)</f>
        <v>0</v>
      </c>
      <c r="G35" s="44">
        <f>IF(ISBLANK(Iochpe_Trimestral!G16),0,Iochpe_Trimestral!G16)</f>
        <v>0</v>
      </c>
      <c r="H35" s="44">
        <f>IF(ISBLANK(Iochpe_Trimestral!H16),0,Iochpe_Trimestral!H16)</f>
        <v>0</v>
      </c>
      <c r="I35" s="44">
        <f>IF(ISBLANK(Iochpe_Trimestral!I16),0,Iochpe_Trimestral!I16)</f>
        <v>0</v>
      </c>
      <c r="J35" s="44">
        <f>IF(ISBLANK(Iochpe_Trimestral!J16),0,Iochpe_Trimestral!J16)</f>
        <v>0</v>
      </c>
      <c r="K35" s="44">
        <f>IF(ISBLANK(Iochpe_Trimestral!K16),0,Iochpe_Trimestral!K16)</f>
        <v>0</v>
      </c>
      <c r="L35" s="24"/>
      <c r="M35" s="38"/>
      <c r="N35" s="24"/>
      <c r="O35" s="38"/>
      <c r="P35" s="38"/>
      <c r="Q35" s="38"/>
      <c r="R35" s="38"/>
      <c r="S35" s="38"/>
      <c r="T35" s="38"/>
      <c r="U35" s="38"/>
      <c r="V35" s="38"/>
    </row>
    <row r="36" spans="1:33" x14ac:dyDescent="0.25">
      <c r="A36" t="s">
        <v>470</v>
      </c>
      <c r="B36" s="44">
        <f>Iochpe_Trimestral!B22</f>
        <v>1502342000</v>
      </c>
      <c r="C36" s="44">
        <f>Iochpe_Trimestral!C22</f>
        <v>1479216000</v>
      </c>
      <c r="D36" s="44">
        <f>Iochpe_Trimestral!D22</f>
        <v>1440886000</v>
      </c>
      <c r="E36" s="44">
        <f>Iochpe_Trimestral!E22</f>
        <v>1029650000</v>
      </c>
      <c r="F36" s="44">
        <f>Iochpe_Trimestral!F22</f>
        <v>1323161000</v>
      </c>
      <c r="G36" s="44">
        <f>Iochpe_Trimestral!G22</f>
        <v>966336000</v>
      </c>
      <c r="H36" s="44">
        <f>Iochpe_Trimestral!H22</f>
        <v>1528126000</v>
      </c>
      <c r="I36" s="44">
        <f>Iochpe_Trimestral!I22</f>
        <v>1405954000</v>
      </c>
      <c r="J36" s="44">
        <f>Iochpe_Trimestral!J22</f>
        <v>1824896000</v>
      </c>
      <c r="K36" s="44">
        <f>Iochpe_Trimestral!K22</f>
        <v>1749006000</v>
      </c>
      <c r="L36" s="24"/>
      <c r="M36" s="24">
        <f t="shared" si="18"/>
        <v>1502342</v>
      </c>
      <c r="N36" s="24">
        <f t="shared" si="17"/>
        <v>1479216</v>
      </c>
      <c r="O36" s="24">
        <f t="shared" si="17"/>
        <v>1440886</v>
      </c>
      <c r="P36" s="24">
        <f t="shared" si="17"/>
        <v>1029650</v>
      </c>
      <c r="Q36" s="24">
        <f t="shared" si="17"/>
        <v>1323161</v>
      </c>
      <c r="R36" s="24">
        <f t="shared" si="17"/>
        <v>966336</v>
      </c>
      <c r="S36" s="24">
        <f t="shared" si="17"/>
        <v>1528126</v>
      </c>
      <c r="T36" s="24">
        <f t="shared" si="17"/>
        <v>1405954</v>
      </c>
      <c r="U36" s="24">
        <f t="shared" si="17"/>
        <v>1824896</v>
      </c>
      <c r="V36" s="24">
        <f t="shared" si="17"/>
        <v>1749006</v>
      </c>
    </row>
    <row r="37" spans="1:33" x14ac:dyDescent="0.25">
      <c r="A37" t="s">
        <v>471</v>
      </c>
      <c r="B37" s="44">
        <f>Iochpe_Trimestral!B24</f>
        <v>1517728000</v>
      </c>
      <c r="C37" s="44">
        <f>Iochpe_Trimestral!C24</f>
        <v>1399921000</v>
      </c>
      <c r="D37" s="44">
        <f>Iochpe_Trimestral!D24</f>
        <v>1417784000</v>
      </c>
      <c r="E37" s="44">
        <f>Iochpe_Trimestral!E24</f>
        <v>1328470000</v>
      </c>
      <c r="F37" s="44">
        <f>Iochpe_Trimestral!F24</f>
        <v>1698388000</v>
      </c>
      <c r="G37" s="44">
        <f>Iochpe_Trimestral!G24</f>
        <v>1659113000</v>
      </c>
      <c r="H37" s="44">
        <f>Iochpe_Trimestral!H24</f>
        <v>1717282000</v>
      </c>
      <c r="I37" s="44">
        <f>Iochpe_Trimestral!I24</f>
        <v>1748497000</v>
      </c>
      <c r="J37" s="44">
        <f>Iochpe_Trimestral!J24</f>
        <v>2200098000</v>
      </c>
      <c r="K37" s="44">
        <f>Iochpe_Trimestral!K24</f>
        <v>2474865000</v>
      </c>
      <c r="L37" s="24"/>
      <c r="M37" s="24">
        <f t="shared" si="18"/>
        <v>1517728</v>
      </c>
      <c r="N37" s="24">
        <f t="shared" si="17"/>
        <v>1399921</v>
      </c>
      <c r="O37" s="24">
        <f t="shared" si="17"/>
        <v>1417784</v>
      </c>
      <c r="P37" s="24">
        <f t="shared" si="17"/>
        <v>1328470</v>
      </c>
      <c r="Q37" s="24">
        <f t="shared" si="17"/>
        <v>1698388</v>
      </c>
      <c r="R37" s="24">
        <f t="shared" si="17"/>
        <v>1659113</v>
      </c>
      <c r="S37" s="24">
        <f t="shared" si="17"/>
        <v>1717282</v>
      </c>
      <c r="T37" s="24">
        <f t="shared" si="17"/>
        <v>1748497</v>
      </c>
      <c r="U37" s="24">
        <f t="shared" si="17"/>
        <v>2200098</v>
      </c>
      <c r="V37" s="24">
        <f t="shared" si="17"/>
        <v>2474865</v>
      </c>
    </row>
    <row r="38" spans="1:33" x14ac:dyDescent="0.25">
      <c r="A38" t="s">
        <v>472</v>
      </c>
      <c r="B38" s="44">
        <f>B33-SUM(B34:B37)</f>
        <v>344167000</v>
      </c>
      <c r="C38" s="44">
        <f t="shared" ref="C38:K38" si="19">C33-SUM(C34:C37)</f>
        <v>384060000</v>
      </c>
      <c r="D38" s="44">
        <f t="shared" si="19"/>
        <v>446160000</v>
      </c>
      <c r="E38" s="44">
        <f t="shared" si="19"/>
        <v>353364000</v>
      </c>
      <c r="F38" s="44">
        <f t="shared" si="19"/>
        <v>370777000</v>
      </c>
      <c r="G38" s="44">
        <f t="shared" si="19"/>
        <v>354269000</v>
      </c>
      <c r="H38" s="44">
        <f t="shared" si="19"/>
        <v>391357000</v>
      </c>
      <c r="I38" s="44">
        <f t="shared" si="19"/>
        <v>402036000</v>
      </c>
      <c r="J38" s="44">
        <f t="shared" si="19"/>
        <v>520430000</v>
      </c>
      <c r="K38" s="44">
        <f t="shared" si="19"/>
        <v>629245000</v>
      </c>
      <c r="L38" s="24"/>
      <c r="M38" s="24">
        <f t="shared" si="18"/>
        <v>344167</v>
      </c>
      <c r="N38" s="24">
        <f t="shared" si="17"/>
        <v>384060</v>
      </c>
      <c r="O38" s="24">
        <f t="shared" si="17"/>
        <v>446160</v>
      </c>
      <c r="P38" s="24">
        <f t="shared" si="17"/>
        <v>353364</v>
      </c>
      <c r="Q38" s="24">
        <f t="shared" si="17"/>
        <v>370777</v>
      </c>
      <c r="R38" s="24">
        <f t="shared" si="17"/>
        <v>354269</v>
      </c>
      <c r="S38" s="24">
        <f t="shared" si="17"/>
        <v>391357</v>
      </c>
      <c r="T38" s="24">
        <f t="shared" si="17"/>
        <v>402036</v>
      </c>
      <c r="U38" s="24">
        <f t="shared" si="17"/>
        <v>520430</v>
      </c>
      <c r="V38" s="24">
        <f t="shared" si="17"/>
        <v>629245</v>
      </c>
    </row>
    <row r="39" spans="1:33" x14ac:dyDescent="0.25">
      <c r="A39" t="s">
        <v>386</v>
      </c>
      <c r="B39" s="44">
        <f>Iochpe_Trimestral!B33</f>
        <v>5640832000</v>
      </c>
      <c r="C39" s="44">
        <f>Iochpe_Trimestral!C33</f>
        <v>5620514000</v>
      </c>
      <c r="D39" s="44">
        <f>Iochpe_Trimestral!D33</f>
        <v>6046314000</v>
      </c>
      <c r="E39" s="44">
        <f>Iochpe_Trimestral!E33</f>
        <v>6017790000</v>
      </c>
      <c r="F39" s="44">
        <f>Iochpe_Trimestral!F33</f>
        <v>7190930000</v>
      </c>
      <c r="G39" s="44">
        <f>Iochpe_Trimestral!G33</f>
        <v>7520295000</v>
      </c>
      <c r="H39" s="44">
        <f>Iochpe_Trimestral!H33</f>
        <v>7731992000</v>
      </c>
      <c r="I39" s="44">
        <f>Iochpe_Trimestral!I33</f>
        <v>7249877000</v>
      </c>
      <c r="J39" s="44">
        <f>Iochpe_Trimestral!J33</f>
        <v>7597878000</v>
      </c>
      <c r="K39" s="44">
        <f>Iochpe_Trimestral!K33</f>
        <v>6994904000</v>
      </c>
      <c r="L39" s="24"/>
      <c r="M39" s="24">
        <f t="shared" si="18"/>
        <v>5640832</v>
      </c>
      <c r="N39" s="24">
        <f t="shared" si="17"/>
        <v>5620514</v>
      </c>
      <c r="O39" s="24">
        <f t="shared" si="17"/>
        <v>6046314</v>
      </c>
      <c r="P39" s="24">
        <f t="shared" si="17"/>
        <v>6017790</v>
      </c>
      <c r="Q39" s="24">
        <f t="shared" si="17"/>
        <v>7190930</v>
      </c>
      <c r="R39" s="24">
        <f t="shared" si="17"/>
        <v>7520295</v>
      </c>
      <c r="S39" s="24">
        <f t="shared" si="17"/>
        <v>7731992</v>
      </c>
      <c r="T39" s="24">
        <f t="shared" si="17"/>
        <v>7249877</v>
      </c>
      <c r="U39" s="24">
        <f t="shared" si="17"/>
        <v>7597878</v>
      </c>
      <c r="V39" s="24">
        <f t="shared" si="17"/>
        <v>6994904</v>
      </c>
    </row>
    <row r="40" spans="1:33" x14ac:dyDescent="0.25">
      <c r="A40" t="s">
        <v>387</v>
      </c>
      <c r="B40" s="44">
        <f>Iochpe_Trimestral!B34</f>
        <v>440158000</v>
      </c>
      <c r="C40" s="44">
        <f>Iochpe_Trimestral!C34</f>
        <v>454774000</v>
      </c>
      <c r="D40" s="44">
        <f>Iochpe_Trimestral!D34</f>
        <v>541286000</v>
      </c>
      <c r="E40" s="44">
        <f>Iochpe_Trimestral!E34</f>
        <v>538299000</v>
      </c>
      <c r="F40" s="44">
        <f>Iochpe_Trimestral!F34</f>
        <v>575854000</v>
      </c>
      <c r="G40" s="44">
        <f>Iochpe_Trimestral!G34</f>
        <v>656068000</v>
      </c>
      <c r="H40" s="44">
        <f>Iochpe_Trimestral!H34</f>
        <v>676259000</v>
      </c>
      <c r="I40" s="44">
        <f>Iochpe_Trimestral!I34</f>
        <v>629630000</v>
      </c>
      <c r="J40" s="44">
        <f>Iochpe_Trimestral!J34</f>
        <v>621429000</v>
      </c>
      <c r="K40" s="44">
        <f>Iochpe_Trimestral!K34</f>
        <v>765840000</v>
      </c>
      <c r="L40" s="24"/>
      <c r="M40" s="24">
        <f t="shared" si="18"/>
        <v>440158</v>
      </c>
      <c r="N40" s="24">
        <f t="shared" si="17"/>
        <v>454774</v>
      </c>
      <c r="O40" s="24">
        <f t="shared" si="17"/>
        <v>541286</v>
      </c>
      <c r="P40" s="24">
        <f t="shared" si="17"/>
        <v>538299</v>
      </c>
      <c r="Q40" s="24">
        <f t="shared" si="17"/>
        <v>575854</v>
      </c>
      <c r="R40" s="24">
        <f t="shared" si="17"/>
        <v>656068</v>
      </c>
      <c r="S40" s="24">
        <f t="shared" si="17"/>
        <v>676259</v>
      </c>
      <c r="T40" s="24">
        <f t="shared" si="17"/>
        <v>629630</v>
      </c>
      <c r="U40" s="24">
        <f t="shared" si="17"/>
        <v>621429</v>
      </c>
      <c r="V40" s="24">
        <f t="shared" si="17"/>
        <v>765840</v>
      </c>
    </row>
    <row r="41" spans="1:33" x14ac:dyDescent="0.25">
      <c r="A41" t="s">
        <v>388</v>
      </c>
      <c r="B41" s="44">
        <f>Iochpe_Trimestral!B59</f>
        <v>39655000</v>
      </c>
      <c r="C41" s="44">
        <f>Iochpe_Trimestral!C59</f>
        <v>37768000</v>
      </c>
      <c r="D41" s="44">
        <f>Iochpe_Trimestral!D59</f>
        <v>67979000</v>
      </c>
      <c r="E41" s="44">
        <f>Iochpe_Trimestral!E59</f>
        <v>74612000</v>
      </c>
      <c r="F41" s="44">
        <f>Iochpe_Trimestral!F59</f>
        <v>91571000</v>
      </c>
      <c r="G41" s="44">
        <f>Iochpe_Trimestral!G59</f>
        <v>93706000</v>
      </c>
      <c r="H41" s="44">
        <f>Iochpe_Trimestral!H59</f>
        <v>97383000</v>
      </c>
      <c r="I41" s="44">
        <f>Iochpe_Trimestral!I59</f>
        <v>95283000</v>
      </c>
      <c r="J41" s="44">
        <f>Iochpe_Trimestral!J59</f>
        <v>102535000</v>
      </c>
      <c r="K41" s="44">
        <f>Iochpe_Trimestral!K59</f>
        <v>101125000</v>
      </c>
      <c r="L41" s="24"/>
      <c r="M41" s="24">
        <f t="shared" si="18"/>
        <v>39655</v>
      </c>
      <c r="N41" s="24">
        <f t="shared" si="17"/>
        <v>37768</v>
      </c>
      <c r="O41" s="24">
        <f t="shared" si="17"/>
        <v>67979</v>
      </c>
      <c r="P41" s="24">
        <f t="shared" si="17"/>
        <v>74612</v>
      </c>
      <c r="Q41" s="24">
        <f t="shared" si="17"/>
        <v>91571</v>
      </c>
      <c r="R41" s="24">
        <f t="shared" si="17"/>
        <v>93706</v>
      </c>
      <c r="S41" s="24">
        <f t="shared" si="17"/>
        <v>97383</v>
      </c>
      <c r="T41" s="24">
        <f t="shared" si="17"/>
        <v>95283</v>
      </c>
      <c r="U41" s="24">
        <f t="shared" si="17"/>
        <v>102535</v>
      </c>
      <c r="V41" s="24">
        <f t="shared" si="17"/>
        <v>101125</v>
      </c>
    </row>
    <row r="42" spans="1:33" x14ac:dyDescent="0.25">
      <c r="A42" t="s">
        <v>389</v>
      </c>
      <c r="B42" s="44">
        <f>Iochpe_Trimestral!B66</f>
        <v>3482756000</v>
      </c>
      <c r="C42" s="44">
        <f>Iochpe_Trimestral!C66</f>
        <v>3476151000</v>
      </c>
      <c r="D42" s="44">
        <f>Iochpe_Trimestral!D66</f>
        <v>3648149000</v>
      </c>
      <c r="E42" s="44">
        <f>Iochpe_Trimestral!E66</f>
        <v>3664744000</v>
      </c>
      <c r="F42" s="44">
        <f>Iochpe_Trimestral!F66</f>
        <v>4300052000</v>
      </c>
      <c r="G42" s="44">
        <f>Iochpe_Trimestral!G66</f>
        <v>4436400000</v>
      </c>
      <c r="H42" s="44">
        <f>Iochpe_Trimestral!H66</f>
        <v>4560664000</v>
      </c>
      <c r="I42" s="44">
        <f>Iochpe_Trimestral!I66</f>
        <v>4305084000</v>
      </c>
      <c r="J42" s="44">
        <f>Iochpe_Trimestral!J66</f>
        <v>4452954000</v>
      </c>
      <c r="K42" s="44">
        <f>Iochpe_Trimestral!K66</f>
        <v>3990803000</v>
      </c>
      <c r="L42" s="24"/>
      <c r="M42" s="24">
        <f t="shared" si="18"/>
        <v>3482756</v>
      </c>
      <c r="N42" s="24">
        <f t="shared" si="17"/>
        <v>3476151</v>
      </c>
      <c r="O42" s="24">
        <f t="shared" si="17"/>
        <v>3648149</v>
      </c>
      <c r="P42" s="24">
        <f t="shared" si="17"/>
        <v>3664744</v>
      </c>
      <c r="Q42" s="24">
        <f t="shared" si="17"/>
        <v>4300052</v>
      </c>
      <c r="R42" s="24">
        <f t="shared" si="17"/>
        <v>4436400</v>
      </c>
      <c r="S42" s="24">
        <f t="shared" si="17"/>
        <v>4560664</v>
      </c>
      <c r="T42" s="24">
        <f t="shared" si="17"/>
        <v>4305084</v>
      </c>
      <c r="U42" s="24">
        <f t="shared" si="17"/>
        <v>4452954</v>
      </c>
      <c r="V42" s="24">
        <f t="shared" si="17"/>
        <v>3990803</v>
      </c>
    </row>
    <row r="43" spans="1:33" x14ac:dyDescent="0.25">
      <c r="A43" t="s">
        <v>390</v>
      </c>
      <c r="B43" s="44">
        <f>Iochpe_Trimestral!B70</f>
        <v>1678263000</v>
      </c>
      <c r="C43" s="44">
        <f>Iochpe_Trimestral!C70</f>
        <v>1651821000</v>
      </c>
      <c r="D43" s="44">
        <f>Iochpe_Trimestral!D70</f>
        <v>1788900000</v>
      </c>
      <c r="E43" s="44">
        <f>Iochpe_Trimestral!E70</f>
        <v>1740135000</v>
      </c>
      <c r="F43" s="44">
        <f>Iochpe_Trimestral!F70</f>
        <v>2223453000</v>
      </c>
      <c r="G43" s="44">
        <f>Iochpe_Trimestral!G70</f>
        <v>2334121000</v>
      </c>
      <c r="H43" s="44">
        <f>Iochpe_Trimestral!H70</f>
        <v>2397686000</v>
      </c>
      <c r="I43" s="44">
        <f>Iochpe_Trimestral!I70</f>
        <v>2219880000</v>
      </c>
      <c r="J43" s="44">
        <f>Iochpe_Trimestral!J70</f>
        <v>2420960000</v>
      </c>
      <c r="K43" s="44">
        <f>Iochpe_Trimestral!K70</f>
        <v>2137136000</v>
      </c>
      <c r="L43" s="24"/>
      <c r="M43" s="24">
        <f t="shared" si="18"/>
        <v>1678263</v>
      </c>
      <c r="N43" s="24">
        <f t="shared" si="17"/>
        <v>1651821</v>
      </c>
      <c r="O43" s="24">
        <f t="shared" si="17"/>
        <v>1788900</v>
      </c>
      <c r="P43" s="24">
        <f t="shared" si="17"/>
        <v>1740135</v>
      </c>
      <c r="Q43" s="24">
        <f t="shared" si="17"/>
        <v>2223453</v>
      </c>
      <c r="R43" s="24">
        <f t="shared" si="17"/>
        <v>2334121</v>
      </c>
      <c r="S43" s="24">
        <f t="shared" si="17"/>
        <v>2397686</v>
      </c>
      <c r="T43" s="24">
        <f t="shared" si="17"/>
        <v>2219880</v>
      </c>
      <c r="U43" s="24">
        <f t="shared" si="17"/>
        <v>2420960</v>
      </c>
      <c r="V43" s="24">
        <f t="shared" si="17"/>
        <v>2137136</v>
      </c>
    </row>
    <row r="44" spans="1:33" x14ac:dyDescent="0.25">
      <c r="A44" t="s">
        <v>472</v>
      </c>
      <c r="B44" s="44">
        <f>B39-SUM(B40:B43)</f>
        <v>0</v>
      </c>
      <c r="C44" s="44">
        <f t="shared" ref="C44:K44" si="20">C39-SUM(C40:C43)</f>
        <v>0</v>
      </c>
      <c r="D44" s="44">
        <f t="shared" si="20"/>
        <v>0</v>
      </c>
      <c r="E44" s="44">
        <f t="shared" si="20"/>
        <v>0</v>
      </c>
      <c r="F44" s="44">
        <f t="shared" si="20"/>
        <v>0</v>
      </c>
      <c r="G44" s="44">
        <f t="shared" si="20"/>
        <v>0</v>
      </c>
      <c r="H44" s="44">
        <f t="shared" si="20"/>
        <v>0</v>
      </c>
      <c r="I44" s="44">
        <f t="shared" si="20"/>
        <v>0</v>
      </c>
      <c r="J44" s="44">
        <f t="shared" si="20"/>
        <v>0</v>
      </c>
      <c r="K44" s="44">
        <f t="shared" si="20"/>
        <v>0</v>
      </c>
      <c r="L44" s="24"/>
      <c r="M44" s="24">
        <f t="shared" si="18"/>
        <v>0</v>
      </c>
      <c r="N44" s="24">
        <f t="shared" si="17"/>
        <v>0</v>
      </c>
      <c r="O44" s="24">
        <f t="shared" si="17"/>
        <v>0</v>
      </c>
      <c r="P44" s="24">
        <f t="shared" si="17"/>
        <v>0</v>
      </c>
      <c r="Q44" s="24">
        <f t="shared" si="17"/>
        <v>0</v>
      </c>
      <c r="R44" s="24">
        <f t="shared" si="17"/>
        <v>0</v>
      </c>
      <c r="S44" s="24">
        <f t="shared" si="17"/>
        <v>0</v>
      </c>
      <c r="T44" s="24">
        <f t="shared" si="17"/>
        <v>0</v>
      </c>
      <c r="U44" s="24">
        <f t="shared" si="17"/>
        <v>0</v>
      </c>
      <c r="V44" s="24">
        <f t="shared" si="17"/>
        <v>0</v>
      </c>
    </row>
    <row r="45" spans="1:33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33" x14ac:dyDescent="0.25">
      <c r="A46" t="str">
        <f>[1]GOAU3!A77</f>
        <v xml:space="preserve"> Passivo e patrimonio liq</v>
      </c>
      <c r="B46" s="44">
        <f>Iochpe_Trimestral!B77</f>
        <v>9440143000</v>
      </c>
      <c r="C46" s="44">
        <f>Iochpe_Trimestral!C77</f>
        <v>9236750000</v>
      </c>
      <c r="D46" s="44">
        <f>Iochpe_Trimestral!D77</f>
        <v>10022525000</v>
      </c>
      <c r="E46" s="44">
        <f>Iochpe_Trimestral!E77</f>
        <v>9375411000</v>
      </c>
      <c r="F46" s="44">
        <f>Iochpe_Trimestral!F77</f>
        <v>11717177000</v>
      </c>
      <c r="G46" s="44">
        <f>Iochpe_Trimestral!G77</f>
        <v>11892587000</v>
      </c>
      <c r="H46" s="44">
        <f>Iochpe_Trimestral!H77</f>
        <v>13010400000</v>
      </c>
      <c r="I46" s="44">
        <f>Iochpe_Trimestral!I77</f>
        <v>12411803000</v>
      </c>
      <c r="J46" s="44">
        <f>Iochpe_Trimestral!J77</f>
        <v>13652232000</v>
      </c>
      <c r="K46" s="44">
        <f>Iochpe_Trimestral!K77</f>
        <v>13203278000</v>
      </c>
      <c r="L46" s="24"/>
      <c r="M46" s="24">
        <f t="shared" ref="M46:V61" si="21">B46/1000</f>
        <v>9440143</v>
      </c>
      <c r="N46" s="24">
        <f t="shared" si="21"/>
        <v>9236750</v>
      </c>
      <c r="O46" s="24">
        <f t="shared" si="21"/>
        <v>10022525</v>
      </c>
      <c r="P46" s="24">
        <f t="shared" si="21"/>
        <v>9375411</v>
      </c>
      <c r="Q46" s="24">
        <f t="shared" si="21"/>
        <v>11717177</v>
      </c>
      <c r="R46" s="24">
        <f t="shared" si="21"/>
        <v>11892587</v>
      </c>
      <c r="S46" s="24">
        <f t="shared" si="21"/>
        <v>13010400</v>
      </c>
      <c r="T46" s="24">
        <f t="shared" si="21"/>
        <v>12411803</v>
      </c>
      <c r="U46" s="24">
        <f t="shared" si="21"/>
        <v>13652232</v>
      </c>
      <c r="V46" s="24">
        <f t="shared" si="21"/>
        <v>13203278</v>
      </c>
      <c r="Y46" s="24">
        <f>M46</f>
        <v>9440143</v>
      </c>
      <c r="Z46" s="24">
        <f t="shared" ref="Z46:AG46" si="22">O46</f>
        <v>10022525</v>
      </c>
      <c r="AA46" s="24">
        <f t="shared" si="22"/>
        <v>9375411</v>
      </c>
      <c r="AB46" s="24">
        <f t="shared" si="22"/>
        <v>11717177</v>
      </c>
      <c r="AC46" s="24">
        <f t="shared" si="22"/>
        <v>11892587</v>
      </c>
      <c r="AD46" s="24">
        <f t="shared" si="22"/>
        <v>13010400</v>
      </c>
      <c r="AE46" s="24">
        <f t="shared" si="22"/>
        <v>12411803</v>
      </c>
      <c r="AF46" s="24">
        <f t="shared" si="22"/>
        <v>13652232</v>
      </c>
      <c r="AG46" s="24">
        <f t="shared" si="22"/>
        <v>13203278</v>
      </c>
    </row>
    <row r="47" spans="1:33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33" x14ac:dyDescent="0.25">
      <c r="A48" t="s">
        <v>476</v>
      </c>
      <c r="B48" s="44">
        <f>Iochpe_Trimestral!B78</f>
        <v>3099445000</v>
      </c>
      <c r="C48" s="44">
        <f>Iochpe_Trimestral!C78</f>
        <v>2853138000</v>
      </c>
      <c r="D48" s="44">
        <f>Iochpe_Trimestral!D78</f>
        <v>2915325000</v>
      </c>
      <c r="E48" s="44">
        <f>Iochpe_Trimestral!E78</f>
        <v>2583618000</v>
      </c>
      <c r="F48" s="44">
        <f>Iochpe_Trimestral!F78</f>
        <v>3694293000</v>
      </c>
      <c r="G48" s="44">
        <f>Iochpe_Trimestral!G78</f>
        <v>3602714000</v>
      </c>
      <c r="H48" s="44">
        <f>Iochpe_Trimestral!H78</f>
        <v>4693039000</v>
      </c>
      <c r="I48" s="44">
        <f>Iochpe_Trimestral!I78</f>
        <v>4352451000</v>
      </c>
      <c r="J48" s="44">
        <f>Iochpe_Trimestral!J78</f>
        <v>6139477000</v>
      </c>
      <c r="K48" s="44">
        <f>Iochpe_Trimestral!K78</f>
        <v>4781777000</v>
      </c>
      <c r="L48" s="24"/>
      <c r="M48" s="24">
        <f t="shared" si="21"/>
        <v>3099445</v>
      </c>
      <c r="N48" s="24">
        <f t="shared" si="21"/>
        <v>2853138</v>
      </c>
      <c r="O48" s="24">
        <f t="shared" si="21"/>
        <v>2915325</v>
      </c>
      <c r="P48" s="24">
        <f t="shared" si="21"/>
        <v>2583618</v>
      </c>
      <c r="Q48" s="24">
        <f t="shared" si="21"/>
        <v>3694293</v>
      </c>
      <c r="R48" s="24">
        <f t="shared" si="21"/>
        <v>3602714</v>
      </c>
      <c r="S48" s="24">
        <f t="shared" si="21"/>
        <v>4693039</v>
      </c>
      <c r="T48" s="24">
        <f t="shared" si="21"/>
        <v>4352451</v>
      </c>
      <c r="U48" s="24">
        <f t="shared" si="21"/>
        <v>6139477</v>
      </c>
      <c r="V48" s="24">
        <f t="shared" si="21"/>
        <v>4781777</v>
      </c>
      <c r="Y48" s="24">
        <f>M48</f>
        <v>3099445</v>
      </c>
      <c r="Z48" s="24">
        <f t="shared" ref="Z48:AG48" si="23">O48</f>
        <v>2915325</v>
      </c>
      <c r="AA48" s="24">
        <f t="shared" si="23"/>
        <v>2583618</v>
      </c>
      <c r="AB48" s="24">
        <f t="shared" si="23"/>
        <v>3694293</v>
      </c>
      <c r="AC48" s="24">
        <f t="shared" si="23"/>
        <v>3602714</v>
      </c>
      <c r="AD48" s="24">
        <f t="shared" si="23"/>
        <v>4693039</v>
      </c>
      <c r="AE48" s="24">
        <f t="shared" si="23"/>
        <v>4352451</v>
      </c>
      <c r="AF48" s="24">
        <f t="shared" si="23"/>
        <v>6139477</v>
      </c>
      <c r="AG48" s="24">
        <f t="shared" si="23"/>
        <v>4781777</v>
      </c>
    </row>
    <row r="49" spans="1:33" x14ac:dyDescent="0.25">
      <c r="A49" t="s">
        <v>473</v>
      </c>
      <c r="B49" s="44">
        <f>Iochpe_Trimestral!B82</f>
        <v>1367348000</v>
      </c>
      <c r="C49" s="44">
        <f>Iochpe_Trimestral!C82</f>
        <v>1246438000</v>
      </c>
      <c r="D49" s="44">
        <f>Iochpe_Trimestral!D82</f>
        <v>1228512000</v>
      </c>
      <c r="E49" s="44">
        <f>Iochpe_Trimestral!E82</f>
        <v>1126821000</v>
      </c>
      <c r="F49" s="44">
        <f>Iochpe_Trimestral!F82</f>
        <v>1436452000</v>
      </c>
      <c r="G49" s="44">
        <f>Iochpe_Trimestral!G82</f>
        <v>919013000</v>
      </c>
      <c r="H49" s="44">
        <f>Iochpe_Trimestral!H82</f>
        <v>1349412000</v>
      </c>
      <c r="I49" s="44">
        <f>Iochpe_Trimestral!I82</f>
        <v>1463594000</v>
      </c>
      <c r="J49" s="44">
        <f>Iochpe_Trimestral!J82</f>
        <v>1729247000</v>
      </c>
      <c r="K49" s="44">
        <f>Iochpe_Trimestral!K82</f>
        <v>1700511000</v>
      </c>
      <c r="L49" s="24"/>
      <c r="M49" s="24">
        <f t="shared" si="21"/>
        <v>1367348</v>
      </c>
      <c r="N49" s="24">
        <f t="shared" si="21"/>
        <v>1246438</v>
      </c>
      <c r="O49" s="24">
        <f t="shared" si="21"/>
        <v>1228512</v>
      </c>
      <c r="P49" s="24">
        <f t="shared" si="21"/>
        <v>1126821</v>
      </c>
      <c r="Q49" s="24">
        <f t="shared" si="21"/>
        <v>1436452</v>
      </c>
      <c r="R49" s="24">
        <f t="shared" si="21"/>
        <v>919013</v>
      </c>
      <c r="S49" s="24">
        <f t="shared" si="21"/>
        <v>1349412</v>
      </c>
      <c r="T49" s="24">
        <f t="shared" si="21"/>
        <v>1463594</v>
      </c>
      <c r="U49" s="24">
        <f t="shared" si="21"/>
        <v>1729247</v>
      </c>
      <c r="V49" s="24">
        <f t="shared" si="21"/>
        <v>1700511</v>
      </c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x14ac:dyDescent="0.25">
      <c r="A50" t="s">
        <v>474</v>
      </c>
      <c r="B50" s="44">
        <f>Iochpe_Trimestral!B91</f>
        <v>867948000</v>
      </c>
      <c r="C50" s="44">
        <f>Iochpe_Trimestral!C91</f>
        <v>743937000</v>
      </c>
      <c r="D50" s="44">
        <f>Iochpe_Trimestral!D91</f>
        <v>725455000</v>
      </c>
      <c r="E50" s="44">
        <f>Iochpe_Trimestral!E91</f>
        <v>648697000</v>
      </c>
      <c r="F50" s="44">
        <f>Iochpe_Trimestral!F91</f>
        <v>1462573000</v>
      </c>
      <c r="G50" s="44">
        <f>Iochpe_Trimestral!G91</f>
        <v>1828277000</v>
      </c>
      <c r="H50" s="44">
        <f>Iochpe_Trimestral!H91</f>
        <v>2336419000</v>
      </c>
      <c r="I50" s="44">
        <f>Iochpe_Trimestral!I91</f>
        <v>1907564000</v>
      </c>
      <c r="J50" s="44">
        <f>Iochpe_Trimestral!J91</f>
        <v>3303156000</v>
      </c>
      <c r="K50" s="44">
        <f>Iochpe_Trimestral!K91</f>
        <v>1798780000</v>
      </c>
      <c r="L50" s="24"/>
      <c r="M50" s="24">
        <f t="shared" si="21"/>
        <v>867948</v>
      </c>
      <c r="N50" s="24">
        <f t="shared" si="21"/>
        <v>743937</v>
      </c>
      <c r="O50" s="24">
        <f t="shared" si="21"/>
        <v>725455</v>
      </c>
      <c r="P50" s="24">
        <f t="shared" si="21"/>
        <v>648697</v>
      </c>
      <c r="Q50" s="24">
        <f t="shared" si="21"/>
        <v>1462573</v>
      </c>
      <c r="R50" s="24">
        <f t="shared" si="21"/>
        <v>1828277</v>
      </c>
      <c r="S50" s="24">
        <f t="shared" si="21"/>
        <v>2336419</v>
      </c>
      <c r="T50" s="24">
        <f t="shared" si="21"/>
        <v>1907564</v>
      </c>
      <c r="U50" s="24">
        <f t="shared" si="21"/>
        <v>3303156</v>
      </c>
      <c r="V50" s="24">
        <f t="shared" si="21"/>
        <v>1798780</v>
      </c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x14ac:dyDescent="0.25">
      <c r="A51" t="s">
        <v>475</v>
      </c>
      <c r="B51" s="44">
        <f>Iochpe_Trimestral!B85</f>
        <v>138571000</v>
      </c>
      <c r="C51" s="44">
        <f>Iochpe_Trimestral!C85</f>
        <v>172239000</v>
      </c>
      <c r="D51" s="44">
        <f>Iochpe_Trimestral!D85</f>
        <v>216024000</v>
      </c>
      <c r="E51" s="44">
        <f>Iochpe_Trimestral!E85</f>
        <v>121060000</v>
      </c>
      <c r="F51" s="44">
        <f>Iochpe_Trimestral!F85</f>
        <v>93075000</v>
      </c>
      <c r="G51" s="44">
        <f>Iochpe_Trimestral!G85</f>
        <v>73495000</v>
      </c>
      <c r="H51" s="44">
        <f>Iochpe_Trimestral!H85</f>
        <v>123405000</v>
      </c>
      <c r="I51" s="44">
        <f>Iochpe_Trimestral!I85</f>
        <v>90868000</v>
      </c>
      <c r="J51" s="44">
        <f>Iochpe_Trimestral!J85</f>
        <v>117971000</v>
      </c>
      <c r="K51" s="44">
        <f>Iochpe_Trimestral!K85</f>
        <v>220606000</v>
      </c>
      <c r="L51" s="24"/>
      <c r="M51" s="24">
        <f t="shared" si="21"/>
        <v>138571</v>
      </c>
      <c r="N51" s="24">
        <f t="shared" si="21"/>
        <v>172239</v>
      </c>
      <c r="O51" s="24">
        <f t="shared" si="21"/>
        <v>216024</v>
      </c>
      <c r="P51" s="24">
        <f t="shared" si="21"/>
        <v>121060</v>
      </c>
      <c r="Q51" s="24">
        <f t="shared" si="21"/>
        <v>93075</v>
      </c>
      <c r="R51" s="24">
        <f t="shared" si="21"/>
        <v>73495</v>
      </c>
      <c r="S51" s="24">
        <f t="shared" si="21"/>
        <v>123405</v>
      </c>
      <c r="T51" s="24">
        <f t="shared" si="21"/>
        <v>90868</v>
      </c>
      <c r="U51" s="24">
        <f t="shared" si="21"/>
        <v>117971</v>
      </c>
      <c r="V51" s="24">
        <f t="shared" si="21"/>
        <v>220606</v>
      </c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t="s">
        <v>472</v>
      </c>
      <c r="B52" s="44">
        <f>B48-SUM(B49:B51)</f>
        <v>725578000</v>
      </c>
      <c r="C52" s="44">
        <f t="shared" ref="C52:K52" si="24">C48-SUM(C49:C51)</f>
        <v>690524000</v>
      </c>
      <c r="D52" s="44">
        <f t="shared" si="24"/>
        <v>745334000</v>
      </c>
      <c r="E52" s="44">
        <f t="shared" si="24"/>
        <v>687040000</v>
      </c>
      <c r="F52" s="44">
        <f t="shared" si="24"/>
        <v>702193000</v>
      </c>
      <c r="G52" s="44">
        <f t="shared" si="24"/>
        <v>781929000</v>
      </c>
      <c r="H52" s="44">
        <f t="shared" si="24"/>
        <v>883803000</v>
      </c>
      <c r="I52" s="44">
        <f t="shared" si="24"/>
        <v>890425000</v>
      </c>
      <c r="J52" s="44">
        <f t="shared" si="24"/>
        <v>989103000</v>
      </c>
      <c r="K52" s="44">
        <f t="shared" si="24"/>
        <v>1061880000</v>
      </c>
      <c r="L52" s="24"/>
      <c r="M52" s="24">
        <f t="shared" si="21"/>
        <v>725578</v>
      </c>
      <c r="N52" s="24">
        <f t="shared" si="21"/>
        <v>690524</v>
      </c>
      <c r="O52" s="24">
        <f t="shared" si="21"/>
        <v>745334</v>
      </c>
      <c r="P52" s="24">
        <f t="shared" si="21"/>
        <v>687040</v>
      </c>
      <c r="Q52" s="24">
        <f t="shared" si="21"/>
        <v>702193</v>
      </c>
      <c r="R52" s="24">
        <f t="shared" si="21"/>
        <v>781929</v>
      </c>
      <c r="S52" s="24">
        <f t="shared" si="21"/>
        <v>883803</v>
      </c>
      <c r="T52" s="24">
        <f t="shared" si="21"/>
        <v>890425</v>
      </c>
      <c r="U52" s="24">
        <f t="shared" si="21"/>
        <v>989103</v>
      </c>
      <c r="V52" s="24">
        <f t="shared" si="21"/>
        <v>1061880</v>
      </c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33" x14ac:dyDescent="0.25">
      <c r="A54" t="s">
        <v>477</v>
      </c>
      <c r="B54" s="44">
        <f>Iochpe_Trimestral!B123</f>
        <v>3126464000</v>
      </c>
      <c r="C54" s="44">
        <f>Iochpe_Trimestral!C123</f>
        <v>3053548000</v>
      </c>
      <c r="D54" s="44">
        <f>Iochpe_Trimestral!D123</f>
        <v>3480830000</v>
      </c>
      <c r="E54" s="44">
        <f>Iochpe_Trimestral!E123</f>
        <v>3294817000</v>
      </c>
      <c r="F54" s="44">
        <f>Iochpe_Trimestral!F123</f>
        <v>3838516000</v>
      </c>
      <c r="G54" s="44">
        <f>Iochpe_Trimestral!G123</f>
        <v>4245199000</v>
      </c>
      <c r="H54" s="44">
        <f>Iochpe_Trimestral!H123</f>
        <v>4161611000</v>
      </c>
      <c r="I54" s="44">
        <f>Iochpe_Trimestral!I123</f>
        <v>4256591000</v>
      </c>
      <c r="J54" s="44">
        <f>Iochpe_Trimestral!J123</f>
        <v>3363226000</v>
      </c>
      <c r="K54" s="44">
        <f>Iochpe_Trimestral!K123</f>
        <v>4528308000</v>
      </c>
      <c r="L54" s="24"/>
      <c r="M54" s="24">
        <f t="shared" si="21"/>
        <v>3126464</v>
      </c>
      <c r="N54" s="24">
        <f t="shared" si="21"/>
        <v>3053548</v>
      </c>
      <c r="O54" s="24">
        <f t="shared" si="21"/>
        <v>3480830</v>
      </c>
      <c r="P54" s="24">
        <f t="shared" si="21"/>
        <v>3294817</v>
      </c>
      <c r="Q54" s="24">
        <f t="shared" si="21"/>
        <v>3838516</v>
      </c>
      <c r="R54" s="24">
        <f t="shared" si="21"/>
        <v>4245199</v>
      </c>
      <c r="S54" s="24">
        <f t="shared" si="21"/>
        <v>4161611</v>
      </c>
      <c r="T54" s="24">
        <f t="shared" si="21"/>
        <v>4256591</v>
      </c>
      <c r="U54" s="24">
        <f t="shared" si="21"/>
        <v>3363226</v>
      </c>
      <c r="V54" s="24">
        <f t="shared" si="21"/>
        <v>4528308</v>
      </c>
      <c r="Y54" s="24">
        <f>M54</f>
        <v>3126464</v>
      </c>
      <c r="Z54" s="24">
        <f t="shared" ref="Z54:AG54" si="25">O54</f>
        <v>3480830</v>
      </c>
      <c r="AA54" s="24">
        <f t="shared" si="25"/>
        <v>3294817</v>
      </c>
      <c r="AB54" s="24">
        <f t="shared" si="25"/>
        <v>3838516</v>
      </c>
      <c r="AC54" s="24">
        <f t="shared" si="25"/>
        <v>4245199</v>
      </c>
      <c r="AD54" s="24">
        <f t="shared" si="25"/>
        <v>4161611</v>
      </c>
      <c r="AE54" s="24">
        <f t="shared" si="25"/>
        <v>4256591</v>
      </c>
      <c r="AF54" s="24">
        <f t="shared" si="25"/>
        <v>3363226</v>
      </c>
      <c r="AG54" s="24">
        <f t="shared" si="25"/>
        <v>4528308</v>
      </c>
    </row>
    <row r="55" spans="1:33" x14ac:dyDescent="0.25">
      <c r="A55" t="s">
        <v>474</v>
      </c>
      <c r="B55" s="44">
        <f>Iochpe_Trimestral!B125+Iochpe_Trimestral!B128</f>
        <v>2294307000</v>
      </c>
      <c r="C55" s="44">
        <f>Iochpe_Trimestral!C125+Iochpe_Trimestral!C128</f>
        <v>2249630000</v>
      </c>
      <c r="D55" s="44">
        <f>Iochpe_Trimestral!D125+Iochpe_Trimestral!D128</f>
        <v>2634029000</v>
      </c>
      <c r="E55" s="44">
        <f>Iochpe_Trimestral!E125+Iochpe_Trimestral!E128</f>
        <v>2412886000</v>
      </c>
      <c r="F55" s="44">
        <f>Iochpe_Trimestral!F125+Iochpe_Trimestral!F128</f>
        <v>2837467000</v>
      </c>
      <c r="G55" s="44">
        <f>Iochpe_Trimestral!G125+Iochpe_Trimestral!G128</f>
        <v>3200463000</v>
      </c>
      <c r="H55" s="44">
        <f>Iochpe_Trimestral!H125+Iochpe_Trimestral!H128</f>
        <v>3043845000</v>
      </c>
      <c r="I55" s="44">
        <f>Iochpe_Trimestral!I125+Iochpe_Trimestral!I128</f>
        <v>3212825000</v>
      </c>
      <c r="J55" s="44">
        <f>Iochpe_Trimestral!J125+Iochpe_Trimestral!J128</f>
        <v>2263046000</v>
      </c>
      <c r="K55" s="44">
        <f>Iochpe_Trimestral!K125+Iochpe_Trimestral!K128</f>
        <v>3574364000</v>
      </c>
      <c r="L55" s="24"/>
      <c r="M55" s="24">
        <f t="shared" si="21"/>
        <v>2294307</v>
      </c>
      <c r="N55" s="24">
        <f t="shared" si="21"/>
        <v>2249630</v>
      </c>
      <c r="O55" s="24">
        <f t="shared" si="21"/>
        <v>2634029</v>
      </c>
      <c r="P55" s="24">
        <f t="shared" si="21"/>
        <v>2412886</v>
      </c>
      <c r="Q55" s="24">
        <f t="shared" si="21"/>
        <v>2837467</v>
      </c>
      <c r="R55" s="24">
        <f t="shared" si="21"/>
        <v>3200463</v>
      </c>
      <c r="S55" s="24">
        <f t="shared" si="21"/>
        <v>3043845</v>
      </c>
      <c r="T55" s="24">
        <f t="shared" si="21"/>
        <v>3212825</v>
      </c>
      <c r="U55" s="24">
        <f t="shared" si="21"/>
        <v>2263046</v>
      </c>
      <c r="V55" s="24">
        <f t="shared" si="21"/>
        <v>3574364</v>
      </c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x14ac:dyDescent="0.25">
      <c r="A56" t="s">
        <v>478</v>
      </c>
      <c r="B56" s="44">
        <f>Iochpe_Trimestral!B142</f>
        <v>565369000</v>
      </c>
      <c r="C56" s="44">
        <f>Iochpe_Trimestral!C142</f>
        <v>543948000</v>
      </c>
      <c r="D56" s="44">
        <f>Iochpe_Trimestral!D142</f>
        <v>564615000</v>
      </c>
      <c r="E56" s="44">
        <f>Iochpe_Trimestral!E142</f>
        <v>599685000</v>
      </c>
      <c r="F56" s="44">
        <f>Iochpe_Trimestral!F142</f>
        <v>723865000</v>
      </c>
      <c r="G56" s="44">
        <f>Iochpe_Trimestral!G142</f>
        <v>762387000</v>
      </c>
      <c r="H56" s="44">
        <f>Iochpe_Trimestral!H142</f>
        <v>820057000</v>
      </c>
      <c r="I56" s="44">
        <f>Iochpe_Trimestral!I142</f>
        <v>781352000</v>
      </c>
      <c r="J56" s="44">
        <f>Iochpe_Trimestral!J142</f>
        <v>820999000</v>
      </c>
      <c r="K56" s="44">
        <f>Iochpe_Trimestral!K142</f>
        <v>729460000</v>
      </c>
      <c r="L56" s="24"/>
      <c r="M56" s="24">
        <f t="shared" si="21"/>
        <v>565369</v>
      </c>
      <c r="N56" s="24">
        <f t="shared" si="21"/>
        <v>543948</v>
      </c>
      <c r="O56" s="24">
        <f t="shared" si="21"/>
        <v>564615</v>
      </c>
      <c r="P56" s="24">
        <f t="shared" si="21"/>
        <v>599685</v>
      </c>
      <c r="Q56" s="24">
        <f t="shared" si="21"/>
        <v>723865</v>
      </c>
      <c r="R56" s="24">
        <f t="shared" si="21"/>
        <v>762387</v>
      </c>
      <c r="S56" s="24">
        <f t="shared" si="21"/>
        <v>820057</v>
      </c>
      <c r="T56" s="24">
        <f t="shared" si="21"/>
        <v>781352</v>
      </c>
      <c r="U56" s="24">
        <f t="shared" si="21"/>
        <v>820999</v>
      </c>
      <c r="V56" s="24">
        <f t="shared" si="21"/>
        <v>729460</v>
      </c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x14ac:dyDescent="0.25">
      <c r="A57" t="s">
        <v>472</v>
      </c>
      <c r="B57" s="44">
        <f>B54-SUM(B55:B56)</f>
        <v>266788000</v>
      </c>
      <c r="C57" s="44">
        <f t="shared" ref="C57:K57" si="26">C54-SUM(C55:C56)</f>
        <v>259970000</v>
      </c>
      <c r="D57" s="44">
        <f t="shared" si="26"/>
        <v>282186000</v>
      </c>
      <c r="E57" s="44">
        <f t="shared" si="26"/>
        <v>282246000</v>
      </c>
      <c r="F57" s="44">
        <f t="shared" si="26"/>
        <v>277184000</v>
      </c>
      <c r="G57" s="44">
        <f t="shared" si="26"/>
        <v>282349000</v>
      </c>
      <c r="H57" s="44">
        <f t="shared" si="26"/>
        <v>297709000</v>
      </c>
      <c r="I57" s="44">
        <f t="shared" si="26"/>
        <v>262414000</v>
      </c>
      <c r="J57" s="44">
        <f t="shared" si="26"/>
        <v>279181000</v>
      </c>
      <c r="K57" s="44">
        <f t="shared" si="26"/>
        <v>224484000</v>
      </c>
      <c r="L57" s="24"/>
      <c r="M57" s="24">
        <f t="shared" si="21"/>
        <v>266788</v>
      </c>
      <c r="N57" s="24">
        <f t="shared" si="21"/>
        <v>259970</v>
      </c>
      <c r="O57" s="24">
        <f t="shared" si="21"/>
        <v>282186</v>
      </c>
      <c r="P57" s="24">
        <f t="shared" si="21"/>
        <v>282246</v>
      </c>
      <c r="Q57" s="24">
        <f t="shared" si="21"/>
        <v>277184</v>
      </c>
      <c r="R57" s="24">
        <f t="shared" si="21"/>
        <v>282349</v>
      </c>
      <c r="S57" s="24">
        <f t="shared" si="21"/>
        <v>297709</v>
      </c>
      <c r="T57" s="24">
        <f t="shared" si="21"/>
        <v>262414</v>
      </c>
      <c r="U57" s="24">
        <f t="shared" si="21"/>
        <v>279181</v>
      </c>
      <c r="V57" s="24">
        <f t="shared" si="21"/>
        <v>224484</v>
      </c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33" x14ac:dyDescent="0.25">
      <c r="A59" t="s">
        <v>479</v>
      </c>
      <c r="B59" s="44">
        <f>Iochpe_Trimestral!B161</f>
        <v>3214234000</v>
      </c>
      <c r="C59" s="44">
        <f>Iochpe_Trimestral!C161</f>
        <v>3330064000</v>
      </c>
      <c r="D59" s="44">
        <f>Iochpe_Trimestral!D161</f>
        <v>3626370000</v>
      </c>
      <c r="E59" s="44">
        <f>Iochpe_Trimestral!E161</f>
        <v>3496976000</v>
      </c>
      <c r="F59" s="44">
        <f>Iochpe_Trimestral!F161</f>
        <v>4184368000</v>
      </c>
      <c r="G59" s="44">
        <f>Iochpe_Trimestral!G161</f>
        <v>4044674000</v>
      </c>
      <c r="H59" s="44">
        <f>Iochpe_Trimestral!H161</f>
        <v>4155750000</v>
      </c>
      <c r="I59" s="44">
        <f>Iochpe_Trimestral!I161</f>
        <v>3802761000</v>
      </c>
      <c r="J59" s="44">
        <f>Iochpe_Trimestral!J161</f>
        <v>4149529000</v>
      </c>
      <c r="K59" s="44">
        <f>Iochpe_Trimestral!K161</f>
        <v>3893193000</v>
      </c>
      <c r="L59" s="24"/>
      <c r="M59" s="24">
        <f t="shared" si="21"/>
        <v>3214234</v>
      </c>
      <c r="N59" s="24">
        <f t="shared" si="21"/>
        <v>3330064</v>
      </c>
      <c r="O59" s="24">
        <f t="shared" si="21"/>
        <v>3626370</v>
      </c>
      <c r="P59" s="24">
        <f t="shared" si="21"/>
        <v>3496976</v>
      </c>
      <c r="Q59" s="24">
        <f t="shared" si="21"/>
        <v>4184368</v>
      </c>
      <c r="R59" s="24">
        <f t="shared" si="21"/>
        <v>4044674</v>
      </c>
      <c r="S59" s="24">
        <f t="shared" si="21"/>
        <v>4155750</v>
      </c>
      <c r="T59" s="24">
        <f t="shared" si="21"/>
        <v>3802761</v>
      </c>
      <c r="U59" s="24">
        <f t="shared" si="21"/>
        <v>4149529</v>
      </c>
      <c r="V59" s="24">
        <f t="shared" si="21"/>
        <v>3893193</v>
      </c>
      <c r="Y59" s="24">
        <f>M59</f>
        <v>3214234</v>
      </c>
      <c r="Z59" s="24">
        <f t="shared" ref="Z59:AG59" si="27">O59</f>
        <v>3626370</v>
      </c>
      <c r="AA59" s="24">
        <f t="shared" si="27"/>
        <v>3496976</v>
      </c>
      <c r="AB59" s="24">
        <f t="shared" si="27"/>
        <v>4184368</v>
      </c>
      <c r="AC59" s="24">
        <f t="shared" si="27"/>
        <v>4044674</v>
      </c>
      <c r="AD59" s="24">
        <f t="shared" si="27"/>
        <v>4155750</v>
      </c>
      <c r="AE59" s="24">
        <f t="shared" si="27"/>
        <v>3802761</v>
      </c>
      <c r="AF59" s="24">
        <f t="shared" si="27"/>
        <v>4149529</v>
      </c>
      <c r="AG59" s="24">
        <f t="shared" si="27"/>
        <v>3893193</v>
      </c>
    </row>
    <row r="60" spans="1:33" x14ac:dyDescent="0.25">
      <c r="A60" t="s">
        <v>480</v>
      </c>
      <c r="B60" s="44">
        <f>Iochpe_Trimestral!B164</f>
        <v>1407536000</v>
      </c>
      <c r="C60" s="44">
        <f>Iochpe_Trimestral!C164</f>
        <v>1447474000</v>
      </c>
      <c r="D60" s="44">
        <f>Iochpe_Trimestral!D164</f>
        <v>1447474000</v>
      </c>
      <c r="E60" s="44">
        <f>Iochpe_Trimestral!E164</f>
        <v>1576954000</v>
      </c>
      <c r="F60" s="44">
        <f>Iochpe_Trimestral!F164</f>
        <v>1576954000</v>
      </c>
      <c r="G60" s="44">
        <f>Iochpe_Trimestral!G164</f>
        <v>1576954000</v>
      </c>
      <c r="H60" s="44">
        <f>Iochpe_Trimestral!H164</f>
        <v>1576954000</v>
      </c>
      <c r="I60" s="44">
        <f>Iochpe_Trimestral!I164</f>
        <v>1576954000</v>
      </c>
      <c r="J60" s="44">
        <f>Iochpe_Trimestral!J164</f>
        <v>1576954000</v>
      </c>
      <c r="K60" s="44">
        <f>Iochpe_Trimestral!K164</f>
        <v>1576954000</v>
      </c>
      <c r="L60" s="24"/>
      <c r="M60" s="24">
        <f t="shared" si="21"/>
        <v>1407536</v>
      </c>
      <c r="N60" s="24">
        <f t="shared" si="21"/>
        <v>1447474</v>
      </c>
      <c r="O60" s="24">
        <f t="shared" si="21"/>
        <v>1447474</v>
      </c>
      <c r="P60" s="24">
        <f t="shared" si="21"/>
        <v>1576954</v>
      </c>
      <c r="Q60" s="24">
        <f t="shared" si="21"/>
        <v>1576954</v>
      </c>
      <c r="R60" s="24">
        <f t="shared" si="21"/>
        <v>1576954</v>
      </c>
      <c r="S60" s="24">
        <f t="shared" si="21"/>
        <v>1576954</v>
      </c>
      <c r="T60" s="24">
        <f t="shared" si="21"/>
        <v>1576954</v>
      </c>
      <c r="U60" s="24">
        <f t="shared" si="21"/>
        <v>1576954</v>
      </c>
      <c r="V60" s="24">
        <f t="shared" si="21"/>
        <v>1576954</v>
      </c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x14ac:dyDescent="0.25">
      <c r="A61" t="s">
        <v>481</v>
      </c>
      <c r="B61" s="44">
        <f>Iochpe_Trimestral!B162</f>
        <v>197020000</v>
      </c>
      <c r="C61" s="44">
        <f>Iochpe_Trimestral!C162</f>
        <v>215233000</v>
      </c>
      <c r="D61" s="44">
        <f>Iochpe_Trimestral!D162</f>
        <v>246757000</v>
      </c>
      <c r="E61" s="44">
        <f>Iochpe_Trimestral!E162</f>
        <v>268498000</v>
      </c>
      <c r="F61" s="44">
        <f>Iochpe_Trimestral!F162</f>
        <v>262518000</v>
      </c>
      <c r="G61" s="44">
        <f>Iochpe_Trimestral!G162</f>
        <v>282271000</v>
      </c>
      <c r="H61" s="44">
        <f>Iochpe_Trimestral!H162</f>
        <v>316749000</v>
      </c>
      <c r="I61" s="44">
        <f>Iochpe_Trimestral!I162</f>
        <v>340476000</v>
      </c>
      <c r="J61" s="44">
        <f>Iochpe_Trimestral!J162</f>
        <v>310990000</v>
      </c>
      <c r="K61" s="44">
        <f>Iochpe_Trimestral!K162</f>
        <v>293940000</v>
      </c>
      <c r="L61" s="24"/>
      <c r="M61" s="24">
        <f t="shared" si="21"/>
        <v>197020</v>
      </c>
      <c r="N61" s="24">
        <f t="shared" si="21"/>
        <v>215233</v>
      </c>
      <c r="O61" s="24">
        <f t="shared" si="21"/>
        <v>246757</v>
      </c>
      <c r="P61" s="24">
        <f t="shared" si="21"/>
        <v>268498</v>
      </c>
      <c r="Q61" s="24">
        <f t="shared" si="21"/>
        <v>262518</v>
      </c>
      <c r="R61" s="24">
        <f t="shared" si="21"/>
        <v>282271</v>
      </c>
      <c r="S61" s="24">
        <f t="shared" si="21"/>
        <v>316749</v>
      </c>
      <c r="T61" s="24">
        <f t="shared" si="21"/>
        <v>340476</v>
      </c>
      <c r="U61" s="24">
        <f t="shared" si="21"/>
        <v>310990</v>
      </c>
      <c r="V61" s="24">
        <f t="shared" si="21"/>
        <v>293940</v>
      </c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x14ac:dyDescent="0.25">
      <c r="A62" t="s">
        <v>482</v>
      </c>
      <c r="B62" s="44">
        <f>Iochpe_Trimestral!B174</f>
        <v>393156000</v>
      </c>
      <c r="C62" s="44">
        <f>Iochpe_Trimestral!C174</f>
        <v>393156000</v>
      </c>
      <c r="D62" s="44">
        <f>Iochpe_Trimestral!D174</f>
        <v>364959000</v>
      </c>
      <c r="E62" s="44">
        <f>Iochpe_Trimestral!E174</f>
        <v>606530000</v>
      </c>
      <c r="F62" s="44">
        <f>Iochpe_Trimestral!F174</f>
        <v>606530000</v>
      </c>
      <c r="G62" s="44">
        <f>Iochpe_Trimestral!G174</f>
        <v>606530000</v>
      </c>
      <c r="H62" s="44">
        <f>Iochpe_Trimestral!H174</f>
        <v>606530000</v>
      </c>
      <c r="I62" s="44">
        <f>Iochpe_Trimestral!I174</f>
        <v>120921000</v>
      </c>
      <c r="J62" s="44">
        <f>Iochpe_Trimestral!J174</f>
        <v>120921000</v>
      </c>
      <c r="K62" s="44">
        <f>Iochpe_Trimestral!K174</f>
        <v>120921000</v>
      </c>
      <c r="L62" s="24"/>
      <c r="M62" s="24">
        <f t="shared" ref="M62:V63" si="28">B62/1000</f>
        <v>393156</v>
      </c>
      <c r="N62" s="24">
        <f t="shared" si="28"/>
        <v>393156</v>
      </c>
      <c r="O62" s="24">
        <f t="shared" si="28"/>
        <v>364959</v>
      </c>
      <c r="P62" s="24">
        <f t="shared" si="28"/>
        <v>606530</v>
      </c>
      <c r="Q62" s="24">
        <f t="shared" si="28"/>
        <v>606530</v>
      </c>
      <c r="R62" s="24">
        <f t="shared" si="28"/>
        <v>606530</v>
      </c>
      <c r="S62" s="24">
        <f t="shared" si="28"/>
        <v>606530</v>
      </c>
      <c r="T62" s="24">
        <f t="shared" si="28"/>
        <v>120921</v>
      </c>
      <c r="U62" s="24">
        <f t="shared" si="28"/>
        <v>120921</v>
      </c>
      <c r="V62" s="24">
        <f t="shared" si="28"/>
        <v>120921</v>
      </c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x14ac:dyDescent="0.25">
      <c r="A63" t="s">
        <v>472</v>
      </c>
      <c r="B63" s="44">
        <f>B59-SUM(B60:B62)</f>
        <v>1216522000</v>
      </c>
      <c r="C63" s="44">
        <f t="shared" ref="C63:K63" si="29">C59-SUM(C60:C62)</f>
        <v>1274201000</v>
      </c>
      <c r="D63" s="44">
        <f t="shared" si="29"/>
        <v>1567180000</v>
      </c>
      <c r="E63" s="44">
        <f t="shared" si="29"/>
        <v>1044994000</v>
      </c>
      <c r="F63" s="44">
        <f t="shared" si="29"/>
        <v>1738366000</v>
      </c>
      <c r="G63" s="44">
        <f t="shared" si="29"/>
        <v>1578919000</v>
      </c>
      <c r="H63" s="44">
        <f t="shared" si="29"/>
        <v>1655517000</v>
      </c>
      <c r="I63" s="44">
        <f t="shared" si="29"/>
        <v>1764410000</v>
      </c>
      <c r="J63" s="44">
        <f t="shared" si="29"/>
        <v>2140664000</v>
      </c>
      <c r="K63" s="44">
        <f t="shared" si="29"/>
        <v>1901378000</v>
      </c>
      <c r="L63" s="24"/>
      <c r="M63" s="24">
        <f t="shared" si="28"/>
        <v>1216522</v>
      </c>
      <c r="N63" s="24">
        <f t="shared" si="28"/>
        <v>1274201</v>
      </c>
      <c r="O63" s="24">
        <f t="shared" si="28"/>
        <v>1567180</v>
      </c>
      <c r="P63" s="24">
        <f t="shared" si="28"/>
        <v>1044994</v>
      </c>
      <c r="Q63" s="24">
        <f t="shared" si="28"/>
        <v>1738366</v>
      </c>
      <c r="R63" s="24">
        <f t="shared" si="28"/>
        <v>1578919</v>
      </c>
      <c r="S63" s="24">
        <f t="shared" si="28"/>
        <v>1655517</v>
      </c>
      <c r="T63" s="24">
        <f t="shared" si="28"/>
        <v>1764410</v>
      </c>
      <c r="U63" s="24">
        <f t="shared" si="28"/>
        <v>2140664</v>
      </c>
      <c r="V63" s="24">
        <f t="shared" si="28"/>
        <v>1901378</v>
      </c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x14ac:dyDescent="0.25"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33" x14ac:dyDescent="0.25">
      <c r="A65" t="s">
        <v>391</v>
      </c>
      <c r="B65" s="27">
        <f>(B48+B54)/B32</f>
        <v>0.65951426795123758</v>
      </c>
      <c r="C65" s="27">
        <f t="shared" ref="C65:K65" si="30">(C48+C54)/C32</f>
        <v>0.63947665575012858</v>
      </c>
      <c r="D65" s="27">
        <f t="shared" si="30"/>
        <v>0.63817800404588665</v>
      </c>
      <c r="E65" s="27">
        <f t="shared" si="30"/>
        <v>0.62700557874209462</v>
      </c>
      <c r="F65" s="27">
        <f t="shared" si="30"/>
        <v>0.64288599549191749</v>
      </c>
      <c r="G65" s="27">
        <f t="shared" si="30"/>
        <v>0.65989956600695876</v>
      </c>
      <c r="H65" s="27">
        <f t="shared" si="30"/>
        <v>0.68058245711123411</v>
      </c>
      <c r="I65" s="27">
        <f t="shared" si="30"/>
        <v>0.69361735760710996</v>
      </c>
      <c r="J65" s="27">
        <f t="shared" si="30"/>
        <v>0.69605490149889049</v>
      </c>
      <c r="K65" s="27">
        <f t="shared" si="30"/>
        <v>0.70513436133057261</v>
      </c>
      <c r="L65" s="27"/>
      <c r="M65" s="25">
        <f>B65</f>
        <v>0.65951426795123758</v>
      </c>
      <c r="N65" s="25">
        <f t="shared" ref="N65:V66" si="31">C65</f>
        <v>0.63947665575012858</v>
      </c>
      <c r="O65" s="25">
        <f t="shared" si="31"/>
        <v>0.63817800404588665</v>
      </c>
      <c r="P65" s="25">
        <f t="shared" si="31"/>
        <v>0.62700557874209462</v>
      </c>
      <c r="Q65" s="25">
        <f t="shared" si="31"/>
        <v>0.64288599549191749</v>
      </c>
      <c r="R65" s="25">
        <f t="shared" si="31"/>
        <v>0.65989956600695876</v>
      </c>
      <c r="S65" s="25">
        <f t="shared" si="31"/>
        <v>0.68058245711123411</v>
      </c>
      <c r="T65" s="25">
        <f t="shared" si="31"/>
        <v>0.69361735760710996</v>
      </c>
      <c r="U65" s="25">
        <f t="shared" si="31"/>
        <v>0.69605490149889049</v>
      </c>
      <c r="V65" s="25">
        <f t="shared" si="31"/>
        <v>0.70513436133057261</v>
      </c>
      <c r="Y65" s="28">
        <f>M65</f>
        <v>0.65951426795123758</v>
      </c>
      <c r="Z65" s="28">
        <f t="shared" ref="Z65:AG65" si="32">O65</f>
        <v>0.63817800404588665</v>
      </c>
      <c r="AA65" s="28">
        <f t="shared" si="32"/>
        <v>0.62700557874209462</v>
      </c>
      <c r="AB65" s="28">
        <f t="shared" si="32"/>
        <v>0.64288599549191749</v>
      </c>
      <c r="AC65" s="28">
        <f t="shared" si="32"/>
        <v>0.65989956600695876</v>
      </c>
      <c r="AD65" s="28">
        <f t="shared" si="32"/>
        <v>0.68058245711123411</v>
      </c>
      <c r="AE65" s="28">
        <f t="shared" si="32"/>
        <v>0.69361735760710996</v>
      </c>
      <c r="AF65" s="28">
        <f t="shared" si="32"/>
        <v>0.69605490149889049</v>
      </c>
      <c r="AG65" s="28">
        <f t="shared" si="32"/>
        <v>0.70513436133057261</v>
      </c>
    </row>
    <row r="66" spans="1:33" x14ac:dyDescent="0.25">
      <c r="A66" t="s">
        <v>392</v>
      </c>
      <c r="B66" s="27">
        <f>B48/B32</f>
        <v>0.32832606455220009</v>
      </c>
      <c r="C66" s="27">
        <f t="shared" ref="C66:K66" si="33">C48/C32</f>
        <v>0.30888981514060682</v>
      </c>
      <c r="D66" s="27">
        <f t="shared" si="33"/>
        <v>0.29087729888426322</v>
      </c>
      <c r="E66" s="27">
        <f t="shared" si="33"/>
        <v>0.27557383884290515</v>
      </c>
      <c r="F66" s="27">
        <f t="shared" si="33"/>
        <v>0.31528865698623482</v>
      </c>
      <c r="G66" s="27">
        <f t="shared" si="33"/>
        <v>0.30293778805233884</v>
      </c>
      <c r="H66" s="27">
        <f t="shared" si="33"/>
        <v>0.36071442845723423</v>
      </c>
      <c r="I66" s="27">
        <f t="shared" si="33"/>
        <v>0.35067032565695733</v>
      </c>
      <c r="J66" s="27">
        <f t="shared" si="33"/>
        <v>0.44970500061821395</v>
      </c>
      <c r="K66" s="27">
        <f t="shared" si="33"/>
        <v>0.36216589546929179</v>
      </c>
      <c r="M66" s="25">
        <f>B66</f>
        <v>0.32832606455220009</v>
      </c>
      <c r="N66" s="25">
        <f t="shared" si="31"/>
        <v>0.30888981514060682</v>
      </c>
      <c r="O66" s="25">
        <f t="shared" si="31"/>
        <v>0.29087729888426322</v>
      </c>
      <c r="P66" s="25">
        <f t="shared" si="31"/>
        <v>0.27557383884290515</v>
      </c>
      <c r="Q66" s="25">
        <f t="shared" si="31"/>
        <v>0.31528865698623482</v>
      </c>
      <c r="R66" s="25">
        <f t="shared" si="31"/>
        <v>0.30293778805233884</v>
      </c>
      <c r="S66" s="25">
        <f t="shared" si="31"/>
        <v>0.36071442845723423</v>
      </c>
      <c r="T66" s="25">
        <f t="shared" si="31"/>
        <v>0.35067032565695733</v>
      </c>
      <c r="U66" s="25">
        <f t="shared" si="31"/>
        <v>0.44970500061821395</v>
      </c>
      <c r="V66" s="25">
        <f t="shared" si="31"/>
        <v>0.36216589546929179</v>
      </c>
    </row>
    <row r="68" spans="1:33" x14ac:dyDescent="0.25">
      <c r="A68" s="29" t="s">
        <v>393</v>
      </c>
    </row>
    <row r="71" spans="1:33" x14ac:dyDescent="0.25">
      <c r="A71" t="s">
        <v>394</v>
      </c>
      <c r="B71" s="44">
        <f>Iochpe_Trimestral!B193</f>
        <v>2468119000</v>
      </c>
      <c r="C71" s="44">
        <f>Iochpe_Trimestral!C193</f>
        <v>2667331000</v>
      </c>
      <c r="D71" s="44">
        <f>Iochpe_Trimestral!D193</f>
        <v>2542311000</v>
      </c>
      <c r="E71" s="44">
        <f>Iochpe_Trimestral!E193</f>
        <v>2338634000</v>
      </c>
      <c r="F71" s="44">
        <f>Iochpe_Trimestral!F193</f>
        <v>2224560000</v>
      </c>
      <c r="G71" s="44">
        <f>Iochpe_Trimestral!G193</f>
        <v>1171844000</v>
      </c>
      <c r="H71" s="44">
        <f>Iochpe_Trimestral!H193</f>
        <v>2514756000</v>
      </c>
      <c r="I71" s="44">
        <f>Iochpe_Trimestral!I193</f>
        <v>2849408000</v>
      </c>
      <c r="J71" s="44">
        <f>Iochpe_Trimestral!J193</f>
        <v>3133096000</v>
      </c>
      <c r="K71" s="44">
        <f>Iochpe_Trimestral!K193</f>
        <v>3183883000</v>
      </c>
      <c r="M71" s="24">
        <f t="shared" ref="M71:V96" si="34">B71/1000</f>
        <v>2468119</v>
      </c>
      <c r="N71" s="24">
        <f t="shared" si="34"/>
        <v>2667331</v>
      </c>
      <c r="O71" s="24">
        <f t="shared" si="34"/>
        <v>2542311</v>
      </c>
      <c r="P71" s="24">
        <f t="shared" si="34"/>
        <v>2338634</v>
      </c>
      <c r="Q71" s="24">
        <f t="shared" si="34"/>
        <v>2224560</v>
      </c>
      <c r="R71" s="24">
        <f t="shared" si="34"/>
        <v>1171844</v>
      </c>
      <c r="S71" s="24">
        <f t="shared" si="34"/>
        <v>2514756</v>
      </c>
      <c r="T71" s="24">
        <f t="shared" si="34"/>
        <v>2849408</v>
      </c>
      <c r="U71" s="24">
        <f t="shared" si="34"/>
        <v>3133096</v>
      </c>
      <c r="V71" s="24">
        <f t="shared" si="34"/>
        <v>3183883</v>
      </c>
      <c r="Y71" s="24">
        <f>M71</f>
        <v>2468119</v>
      </c>
      <c r="Z71" s="24">
        <f t="shared" ref="Z71:AG71" si="35">O71</f>
        <v>2542311</v>
      </c>
      <c r="AA71" s="24">
        <f t="shared" si="35"/>
        <v>2338634</v>
      </c>
      <c r="AB71" s="24">
        <f t="shared" si="35"/>
        <v>2224560</v>
      </c>
      <c r="AC71" s="24">
        <f t="shared" si="35"/>
        <v>1171844</v>
      </c>
      <c r="AD71" s="24">
        <f t="shared" si="35"/>
        <v>2514756</v>
      </c>
      <c r="AE71" s="24">
        <f t="shared" si="35"/>
        <v>2849408</v>
      </c>
      <c r="AF71" s="24">
        <f t="shared" si="35"/>
        <v>3133096</v>
      </c>
      <c r="AG71" s="24">
        <f t="shared" si="35"/>
        <v>3183883</v>
      </c>
    </row>
    <row r="72" spans="1:33" x14ac:dyDescent="0.25">
      <c r="A72" t="s">
        <v>395</v>
      </c>
      <c r="B72" s="44">
        <f>Iochpe_Trimestral!B194</f>
        <v>2169809000</v>
      </c>
      <c r="C72" s="44">
        <f>Iochpe_Trimestral!C194</f>
        <v>2330756000</v>
      </c>
      <c r="D72" s="44">
        <f>Iochpe_Trimestral!D194</f>
        <v>2219621000</v>
      </c>
      <c r="E72" s="44">
        <f>Iochpe_Trimestral!E194</f>
        <v>2110991000</v>
      </c>
      <c r="F72" s="44">
        <f>Iochpe_Trimestral!F194</f>
        <v>2040204000</v>
      </c>
      <c r="G72" s="44">
        <f>Iochpe_Trimestral!G194</f>
        <v>1308180000</v>
      </c>
      <c r="H72" s="44">
        <f>Iochpe_Trimestral!H194</f>
        <v>2259081000</v>
      </c>
      <c r="I72" s="44">
        <f>Iochpe_Trimestral!I194</f>
        <v>2587790000</v>
      </c>
      <c r="J72" s="44">
        <f>Iochpe_Trimestral!J194</f>
        <v>2723380000</v>
      </c>
      <c r="K72" s="44">
        <f>Iochpe_Trimestral!K194</f>
        <v>2763165000</v>
      </c>
      <c r="M72" s="24">
        <f t="shared" si="34"/>
        <v>2169809</v>
      </c>
      <c r="N72" s="24">
        <f t="shared" si="34"/>
        <v>2330756</v>
      </c>
      <c r="O72" s="24">
        <f t="shared" si="34"/>
        <v>2219621</v>
      </c>
      <c r="P72" s="24">
        <f t="shared" si="34"/>
        <v>2110991</v>
      </c>
      <c r="Q72" s="24">
        <f t="shared" si="34"/>
        <v>2040204</v>
      </c>
      <c r="R72" s="24">
        <f t="shared" si="34"/>
        <v>1308180</v>
      </c>
      <c r="S72" s="24">
        <f t="shared" si="34"/>
        <v>2259081</v>
      </c>
      <c r="T72" s="24">
        <f t="shared" si="34"/>
        <v>2587790</v>
      </c>
      <c r="U72" s="24">
        <f t="shared" si="34"/>
        <v>2723380</v>
      </c>
      <c r="V72" s="24">
        <f t="shared" si="34"/>
        <v>2763165</v>
      </c>
    </row>
    <row r="73" spans="1:33" x14ac:dyDescent="0.25">
      <c r="A73" t="s">
        <v>396</v>
      </c>
      <c r="B73" s="44">
        <f>B71-B72</f>
        <v>298310000</v>
      </c>
      <c r="C73" s="44">
        <f t="shared" ref="C73:K73" si="36">C71-C72</f>
        <v>336575000</v>
      </c>
      <c r="D73" s="44">
        <f t="shared" si="36"/>
        <v>322690000</v>
      </c>
      <c r="E73" s="44">
        <f t="shared" si="36"/>
        <v>227643000</v>
      </c>
      <c r="F73" s="44">
        <f t="shared" si="36"/>
        <v>184356000</v>
      </c>
      <c r="G73" s="44">
        <f t="shared" si="36"/>
        <v>-136336000</v>
      </c>
      <c r="H73" s="44">
        <f t="shared" si="36"/>
        <v>255675000</v>
      </c>
      <c r="I73" s="44">
        <f t="shared" si="36"/>
        <v>261618000</v>
      </c>
      <c r="J73" s="44">
        <f t="shared" si="36"/>
        <v>409716000</v>
      </c>
      <c r="K73" s="44">
        <f t="shared" si="36"/>
        <v>420718000</v>
      </c>
      <c r="M73" s="24">
        <f t="shared" si="34"/>
        <v>298310</v>
      </c>
      <c r="N73" s="24">
        <f t="shared" si="34"/>
        <v>336575</v>
      </c>
      <c r="O73" s="24">
        <f t="shared" si="34"/>
        <v>322690</v>
      </c>
      <c r="P73" s="24">
        <f t="shared" si="34"/>
        <v>227643</v>
      </c>
      <c r="Q73" s="24">
        <f t="shared" si="34"/>
        <v>184356</v>
      </c>
      <c r="R73" s="24">
        <f t="shared" si="34"/>
        <v>-136336</v>
      </c>
      <c r="S73" s="24">
        <f t="shared" si="34"/>
        <v>255675</v>
      </c>
      <c r="T73" s="24">
        <f t="shared" si="34"/>
        <v>261618</v>
      </c>
      <c r="U73" s="24">
        <f t="shared" si="34"/>
        <v>409716</v>
      </c>
      <c r="V73" s="24">
        <f t="shared" si="34"/>
        <v>420718</v>
      </c>
    </row>
    <row r="74" spans="1:33" x14ac:dyDescent="0.25">
      <c r="A74" t="s">
        <v>397</v>
      </c>
      <c r="B74" s="44">
        <f>B75+B76+B78-(B77+B79)</f>
        <v>154543000</v>
      </c>
      <c r="C74" s="44">
        <f t="shared" ref="C74:K74" si="37">C75+C76+C78-(C77+C79)</f>
        <v>134923000</v>
      </c>
      <c r="D74" s="44">
        <f t="shared" si="37"/>
        <v>95953000</v>
      </c>
      <c r="E74" s="44">
        <f t="shared" si="37"/>
        <v>123544000</v>
      </c>
      <c r="F74" s="44">
        <f t="shared" si="37"/>
        <v>98860000</v>
      </c>
      <c r="G74" s="44">
        <f t="shared" si="37"/>
        <v>195698000</v>
      </c>
      <c r="H74" s="44">
        <f t="shared" si="37"/>
        <v>184196000</v>
      </c>
      <c r="I74" s="44">
        <f t="shared" si="37"/>
        <v>271280000</v>
      </c>
      <c r="J74" s="44">
        <f t="shared" si="37"/>
        <v>186635000</v>
      </c>
      <c r="K74" s="44">
        <f t="shared" si="37"/>
        <v>-33573000</v>
      </c>
      <c r="M74" s="24">
        <f t="shared" si="34"/>
        <v>154543</v>
      </c>
      <c r="N74" s="24">
        <f t="shared" si="34"/>
        <v>134923</v>
      </c>
      <c r="O74" s="24">
        <f t="shared" si="34"/>
        <v>95953</v>
      </c>
      <c r="P74" s="24">
        <f t="shared" si="34"/>
        <v>123544</v>
      </c>
      <c r="Q74" s="24">
        <f t="shared" si="34"/>
        <v>98860</v>
      </c>
      <c r="R74" s="24">
        <f t="shared" si="34"/>
        <v>195698</v>
      </c>
      <c r="S74" s="24">
        <f t="shared" si="34"/>
        <v>184196</v>
      </c>
      <c r="T74" s="24">
        <f t="shared" si="34"/>
        <v>271280</v>
      </c>
      <c r="U74" s="24">
        <f t="shared" si="34"/>
        <v>186635</v>
      </c>
      <c r="V74" s="24">
        <f t="shared" si="34"/>
        <v>-33573</v>
      </c>
    </row>
    <row r="75" spans="1:33" x14ac:dyDescent="0.25">
      <c r="A75" t="s">
        <v>398</v>
      </c>
      <c r="B75" s="44">
        <f>Iochpe_Trimestral!B197</f>
        <v>13873000</v>
      </c>
      <c r="C75" s="44">
        <f>Iochpe_Trimestral!C197</f>
        <v>9142000</v>
      </c>
      <c r="D75" s="44">
        <f>Iochpe_Trimestral!D197</f>
        <v>17453000</v>
      </c>
      <c r="E75" s="44">
        <f>Iochpe_Trimestral!E197</f>
        <v>13310000</v>
      </c>
      <c r="F75" s="44">
        <f>Iochpe_Trimestral!F197</f>
        <v>13258000</v>
      </c>
      <c r="G75" s="44">
        <f>Iochpe_Trimestral!G197</f>
        <v>13579000</v>
      </c>
      <c r="H75" s="44">
        <f>Iochpe_Trimestral!H197</f>
        <v>11754000</v>
      </c>
      <c r="I75" s="44">
        <f>Iochpe_Trimestral!I197</f>
        <v>23221000</v>
      </c>
      <c r="J75" s="44">
        <f>Iochpe_Trimestral!J197</f>
        <v>22412000</v>
      </c>
      <c r="K75" s="44">
        <f>Iochpe_Trimestral!K197</f>
        <v>12457000</v>
      </c>
      <c r="M75" s="24">
        <f t="shared" si="34"/>
        <v>13873</v>
      </c>
      <c r="N75" s="24">
        <f t="shared" si="34"/>
        <v>9142</v>
      </c>
      <c r="O75" s="24">
        <f t="shared" si="34"/>
        <v>17453</v>
      </c>
      <c r="P75" s="24">
        <f t="shared" si="34"/>
        <v>13310</v>
      </c>
      <c r="Q75" s="24">
        <f t="shared" si="34"/>
        <v>13258</v>
      </c>
      <c r="R75" s="24">
        <f t="shared" si="34"/>
        <v>13579</v>
      </c>
      <c r="S75" s="24">
        <f t="shared" si="34"/>
        <v>11754</v>
      </c>
      <c r="T75" s="24">
        <f t="shared" si="34"/>
        <v>23221</v>
      </c>
      <c r="U75" s="24">
        <f t="shared" si="34"/>
        <v>22412</v>
      </c>
      <c r="V75" s="24">
        <f t="shared" si="34"/>
        <v>12457</v>
      </c>
    </row>
    <row r="76" spans="1:33" x14ac:dyDescent="0.25">
      <c r="A76" t="s">
        <v>399</v>
      </c>
      <c r="B76" s="44">
        <f>Iochpe_Trimestral!B198</f>
        <v>127101000</v>
      </c>
      <c r="C76" s="44">
        <f>Iochpe_Trimestral!C198</f>
        <v>124016000</v>
      </c>
      <c r="D76" s="44">
        <f>Iochpe_Trimestral!D198</f>
        <v>119442000</v>
      </c>
      <c r="E76" s="44">
        <f>Iochpe_Trimestral!E198</f>
        <v>131495000</v>
      </c>
      <c r="F76" s="44">
        <f>Iochpe_Trimestral!F198</f>
        <v>116998000</v>
      </c>
      <c r="G76" s="44">
        <f>Iochpe_Trimestral!G198</f>
        <v>118786000</v>
      </c>
      <c r="H76" s="44">
        <f>Iochpe_Trimestral!H198</f>
        <v>123363000</v>
      </c>
      <c r="I76" s="44">
        <f>Iochpe_Trimestral!I198</f>
        <v>142684000</v>
      </c>
      <c r="J76" s="44">
        <f>Iochpe_Trimestral!J198</f>
        <v>159462000</v>
      </c>
      <c r="K76" s="44">
        <f>Iochpe_Trimestral!K198</f>
        <v>166679000</v>
      </c>
      <c r="M76" s="24">
        <f t="shared" si="34"/>
        <v>127101</v>
      </c>
      <c r="N76" s="24">
        <f t="shared" si="34"/>
        <v>124016</v>
      </c>
      <c r="O76" s="24">
        <f t="shared" si="34"/>
        <v>119442</v>
      </c>
      <c r="P76" s="24">
        <f t="shared" si="34"/>
        <v>131495</v>
      </c>
      <c r="Q76" s="24">
        <f t="shared" si="34"/>
        <v>116998</v>
      </c>
      <c r="R76" s="24">
        <f t="shared" si="34"/>
        <v>118786</v>
      </c>
      <c r="S76" s="24">
        <f t="shared" si="34"/>
        <v>123363</v>
      </c>
      <c r="T76" s="24">
        <f t="shared" si="34"/>
        <v>142684</v>
      </c>
      <c r="U76" s="24">
        <f t="shared" si="34"/>
        <v>159462</v>
      </c>
      <c r="V76" s="24">
        <f t="shared" si="34"/>
        <v>166679</v>
      </c>
    </row>
    <row r="77" spans="1:33" x14ac:dyDescent="0.25">
      <c r="A77" t="s">
        <v>400</v>
      </c>
      <c r="B77" s="44">
        <f>Iochpe_Trimestral!B200</f>
        <v>-5841000</v>
      </c>
      <c r="C77" s="44">
        <f>Iochpe_Trimestral!C200</f>
        <v>1988000</v>
      </c>
      <c r="D77" s="44">
        <f>Iochpe_Trimestral!D200</f>
        <v>50859000</v>
      </c>
      <c r="E77" s="44">
        <f>Iochpe_Trimestral!E200</f>
        <v>23765000</v>
      </c>
      <c r="F77" s="44">
        <f>Iochpe_Trimestral!F200</f>
        <v>25764000</v>
      </c>
      <c r="G77" s="44">
        <f>Iochpe_Trimestral!G200</f>
        <v>-61064000</v>
      </c>
      <c r="H77" s="44">
        <f>Iochpe_Trimestral!H200</f>
        <v>-49618000</v>
      </c>
      <c r="I77" s="44">
        <f>Iochpe_Trimestral!I200</f>
        <v>-103516000</v>
      </c>
      <c r="J77" s="44">
        <f>Iochpe_Trimestral!J200</f>
        <v>-5692000</v>
      </c>
      <c r="K77" s="44">
        <f>Iochpe_Trimestral!K200</f>
        <v>202057000</v>
      </c>
      <c r="M77" s="24">
        <f t="shared" si="34"/>
        <v>-5841</v>
      </c>
      <c r="N77" s="24">
        <f t="shared" si="34"/>
        <v>1988</v>
      </c>
      <c r="O77" s="24">
        <f t="shared" si="34"/>
        <v>50859</v>
      </c>
      <c r="P77" s="24">
        <f t="shared" si="34"/>
        <v>23765</v>
      </c>
      <c r="Q77" s="24">
        <f t="shared" si="34"/>
        <v>25764</v>
      </c>
      <c r="R77" s="24">
        <f t="shared" si="34"/>
        <v>-61064</v>
      </c>
      <c r="S77" s="24">
        <f t="shared" si="34"/>
        <v>-49618</v>
      </c>
      <c r="T77" s="24">
        <f t="shared" si="34"/>
        <v>-103516</v>
      </c>
      <c r="U77" s="24">
        <f t="shared" si="34"/>
        <v>-5692</v>
      </c>
      <c r="V77" s="24">
        <f t="shared" si="34"/>
        <v>202057</v>
      </c>
    </row>
    <row r="78" spans="1:33" x14ac:dyDescent="0.25">
      <c r="A78" t="s">
        <v>401</v>
      </c>
      <c r="B78" s="44">
        <f>Iochpe_Trimestral!B201</f>
        <v>0</v>
      </c>
      <c r="C78" s="44">
        <f>Iochpe_Trimestral!C201</f>
        <v>0</v>
      </c>
      <c r="D78" s="44">
        <f>Iochpe_Trimestral!D201</f>
        <v>0</v>
      </c>
      <c r="E78" s="44">
        <f>Iochpe_Trimestral!E201</f>
        <v>0</v>
      </c>
      <c r="F78" s="44">
        <f>Iochpe_Trimestral!F201</f>
        <v>0</v>
      </c>
      <c r="G78" s="44">
        <f>Iochpe_Trimestral!G201</f>
        <v>0</v>
      </c>
      <c r="H78" s="44">
        <f>Iochpe_Trimestral!H201</f>
        <v>0</v>
      </c>
      <c r="I78" s="44">
        <f>Iochpe_Trimestral!I201</f>
        <v>0</v>
      </c>
      <c r="J78" s="44">
        <f>Iochpe_Trimestral!J201</f>
        <v>0</v>
      </c>
      <c r="K78" s="44">
        <f>Iochpe_Trimestral!K201</f>
        <v>0</v>
      </c>
      <c r="M78" s="24">
        <f t="shared" si="34"/>
        <v>0</v>
      </c>
      <c r="N78" s="24">
        <f t="shared" si="34"/>
        <v>0</v>
      </c>
      <c r="O78" s="24">
        <f t="shared" si="34"/>
        <v>0</v>
      </c>
      <c r="P78" s="24">
        <f t="shared" si="34"/>
        <v>0</v>
      </c>
      <c r="Q78" s="24">
        <f t="shared" si="34"/>
        <v>0</v>
      </c>
      <c r="R78" s="24">
        <f t="shared" si="34"/>
        <v>0</v>
      </c>
      <c r="S78" s="24">
        <f t="shared" si="34"/>
        <v>0</v>
      </c>
      <c r="T78" s="24">
        <f t="shared" si="34"/>
        <v>0</v>
      </c>
      <c r="U78" s="24">
        <f t="shared" si="34"/>
        <v>0</v>
      </c>
      <c r="V78" s="24">
        <f t="shared" si="34"/>
        <v>0</v>
      </c>
    </row>
    <row r="79" spans="1:33" x14ac:dyDescent="0.25">
      <c r="A79" t="s">
        <v>402</v>
      </c>
      <c r="B79" s="44">
        <f>Iochpe_Trimestral!B202</f>
        <v>-7728000</v>
      </c>
      <c r="C79" s="44">
        <f>Iochpe_Trimestral!C202</f>
        <v>-3753000</v>
      </c>
      <c r="D79" s="44">
        <f>Iochpe_Trimestral!D202</f>
        <v>-9917000</v>
      </c>
      <c r="E79" s="44">
        <f>Iochpe_Trimestral!E202</f>
        <v>-2504000</v>
      </c>
      <c r="F79" s="44">
        <f>Iochpe_Trimestral!F202</f>
        <v>5632000</v>
      </c>
      <c r="G79" s="44">
        <f>Iochpe_Trimestral!G202</f>
        <v>-2269000</v>
      </c>
      <c r="H79" s="44">
        <f>Iochpe_Trimestral!H202</f>
        <v>539000</v>
      </c>
      <c r="I79" s="44">
        <f>Iochpe_Trimestral!I202</f>
        <v>-1859000</v>
      </c>
      <c r="J79" s="44">
        <f>Iochpe_Trimestral!J202</f>
        <v>931000</v>
      </c>
      <c r="K79" s="44">
        <f>Iochpe_Trimestral!K202</f>
        <v>10652000</v>
      </c>
      <c r="M79" s="24">
        <f t="shared" si="34"/>
        <v>-7728</v>
      </c>
      <c r="N79" s="24">
        <f t="shared" si="34"/>
        <v>-3753</v>
      </c>
      <c r="O79" s="24">
        <f t="shared" si="34"/>
        <v>-9917</v>
      </c>
      <c r="P79" s="24">
        <f t="shared" si="34"/>
        <v>-2504</v>
      </c>
      <c r="Q79" s="24">
        <f t="shared" si="34"/>
        <v>5632</v>
      </c>
      <c r="R79" s="24">
        <f t="shared" si="34"/>
        <v>-2269</v>
      </c>
      <c r="S79" s="24">
        <f t="shared" si="34"/>
        <v>539</v>
      </c>
      <c r="T79" s="24">
        <f t="shared" si="34"/>
        <v>-1859</v>
      </c>
      <c r="U79" s="24">
        <f t="shared" si="34"/>
        <v>931</v>
      </c>
      <c r="V79" s="24">
        <f t="shared" si="34"/>
        <v>10652</v>
      </c>
    </row>
    <row r="80" spans="1:33" x14ac:dyDescent="0.25">
      <c r="A80" t="s">
        <v>403</v>
      </c>
      <c r="B80" s="44">
        <f>B73-B74</f>
        <v>143767000</v>
      </c>
      <c r="C80" s="44">
        <f t="shared" ref="C80:K80" si="38">C73-C74</f>
        <v>201652000</v>
      </c>
      <c r="D80" s="44">
        <f t="shared" si="38"/>
        <v>226737000</v>
      </c>
      <c r="E80" s="44">
        <f t="shared" si="38"/>
        <v>104099000</v>
      </c>
      <c r="F80" s="44">
        <f t="shared" si="38"/>
        <v>85496000</v>
      </c>
      <c r="G80" s="44">
        <f t="shared" si="38"/>
        <v>-332034000</v>
      </c>
      <c r="H80" s="44">
        <f t="shared" si="38"/>
        <v>71479000</v>
      </c>
      <c r="I80" s="44">
        <f t="shared" si="38"/>
        <v>-9662000</v>
      </c>
      <c r="J80" s="44">
        <f t="shared" si="38"/>
        <v>223081000</v>
      </c>
      <c r="K80" s="44">
        <f t="shared" si="38"/>
        <v>454291000</v>
      </c>
      <c r="M80" s="24">
        <f t="shared" si="34"/>
        <v>143767</v>
      </c>
      <c r="N80" s="24">
        <f t="shared" si="34"/>
        <v>201652</v>
      </c>
      <c r="O80" s="24">
        <f t="shared" si="34"/>
        <v>226737</v>
      </c>
      <c r="P80" s="24">
        <f t="shared" si="34"/>
        <v>104099</v>
      </c>
      <c r="Q80" s="24">
        <f t="shared" si="34"/>
        <v>85496</v>
      </c>
      <c r="R80" s="24">
        <f t="shared" si="34"/>
        <v>-332034</v>
      </c>
      <c r="S80" s="24">
        <f t="shared" si="34"/>
        <v>71479</v>
      </c>
      <c r="T80" s="24">
        <f t="shared" si="34"/>
        <v>-9662</v>
      </c>
      <c r="U80" s="24">
        <f t="shared" si="34"/>
        <v>223081</v>
      </c>
      <c r="V80" s="24">
        <f t="shared" si="34"/>
        <v>454291</v>
      </c>
    </row>
    <row r="81" spans="1:33" x14ac:dyDescent="0.25">
      <c r="A81" t="s">
        <v>404</v>
      </c>
      <c r="B81" s="44">
        <f>B82-B83</f>
        <v>-77802000</v>
      </c>
      <c r="C81" s="44">
        <f t="shared" ref="C81:K81" si="39">C82-C83</f>
        <v>-49704000</v>
      </c>
      <c r="D81" s="44">
        <f t="shared" si="39"/>
        <v>-24105000</v>
      </c>
      <c r="E81" s="44">
        <f t="shared" si="39"/>
        <v>-18293000</v>
      </c>
      <c r="F81" s="44">
        <f t="shared" si="39"/>
        <v>-49580000</v>
      </c>
      <c r="G81" s="44">
        <f t="shared" si="39"/>
        <v>-84121000</v>
      </c>
      <c r="H81" s="44">
        <f t="shared" si="39"/>
        <v>-42240000</v>
      </c>
      <c r="I81" s="44">
        <f t="shared" si="39"/>
        <v>-57045000</v>
      </c>
      <c r="J81" s="44">
        <f t="shared" si="39"/>
        <v>-59042000</v>
      </c>
      <c r="K81" s="44">
        <f t="shared" si="39"/>
        <v>-68543000</v>
      </c>
      <c r="M81" s="24">
        <f t="shared" si="34"/>
        <v>-77802</v>
      </c>
      <c r="N81" s="24">
        <f t="shared" si="34"/>
        <v>-49704</v>
      </c>
      <c r="O81" s="24">
        <f t="shared" si="34"/>
        <v>-24105</v>
      </c>
      <c r="P81" s="24">
        <f t="shared" si="34"/>
        <v>-18293</v>
      </c>
      <c r="Q81" s="24">
        <f t="shared" si="34"/>
        <v>-49580</v>
      </c>
      <c r="R81" s="24">
        <f t="shared" si="34"/>
        <v>-84121</v>
      </c>
      <c r="S81" s="24">
        <f t="shared" si="34"/>
        <v>-42240</v>
      </c>
      <c r="T81" s="24">
        <f t="shared" si="34"/>
        <v>-57045</v>
      </c>
      <c r="U81" s="24">
        <f t="shared" si="34"/>
        <v>-59042</v>
      </c>
      <c r="V81" s="24">
        <f t="shared" si="34"/>
        <v>-68543</v>
      </c>
    </row>
    <row r="82" spans="1:33" x14ac:dyDescent="0.25">
      <c r="A82" t="s">
        <v>405</v>
      </c>
      <c r="B82" s="44">
        <f>Iochpe_Trimestral!B205</f>
        <v>5792000</v>
      </c>
      <c r="C82" s="44">
        <f>Iochpe_Trimestral!C205</f>
        <v>4680000</v>
      </c>
      <c r="D82" s="44">
        <f>Iochpe_Trimestral!D205</f>
        <v>30214000</v>
      </c>
      <c r="E82" s="44">
        <f>Iochpe_Trimestral!E205</f>
        <v>24658000</v>
      </c>
      <c r="F82" s="44">
        <f>Iochpe_Trimestral!F205</f>
        <v>3421000</v>
      </c>
      <c r="G82" s="44">
        <f>Iochpe_Trimestral!G205</f>
        <v>7185000</v>
      </c>
      <c r="H82" s="44">
        <f>Iochpe_Trimestral!H205</f>
        <v>4346000</v>
      </c>
      <c r="I82" s="44">
        <f>Iochpe_Trimestral!I205</f>
        <v>18414000</v>
      </c>
      <c r="J82" s="44">
        <f>Iochpe_Trimestral!J205</f>
        <v>4640000</v>
      </c>
      <c r="K82" s="44">
        <f>Iochpe_Trimestral!K205</f>
        <v>67079000</v>
      </c>
      <c r="M82" s="24">
        <f t="shared" si="34"/>
        <v>5792</v>
      </c>
      <c r="N82" s="24">
        <f t="shared" si="34"/>
        <v>4680</v>
      </c>
      <c r="O82" s="24">
        <f t="shared" si="34"/>
        <v>30214</v>
      </c>
      <c r="P82" s="24">
        <f t="shared" si="34"/>
        <v>24658</v>
      </c>
      <c r="Q82" s="24">
        <f t="shared" si="34"/>
        <v>3421</v>
      </c>
      <c r="R82" s="24">
        <f t="shared" si="34"/>
        <v>7185</v>
      </c>
      <c r="S82" s="24">
        <f t="shared" si="34"/>
        <v>4346</v>
      </c>
      <c r="T82" s="24">
        <f t="shared" si="34"/>
        <v>18414</v>
      </c>
      <c r="U82" s="24">
        <f t="shared" si="34"/>
        <v>4640</v>
      </c>
      <c r="V82" s="24">
        <f t="shared" si="34"/>
        <v>67079</v>
      </c>
    </row>
    <row r="83" spans="1:33" x14ac:dyDescent="0.25">
      <c r="A83" t="s">
        <v>406</v>
      </c>
      <c r="B83" s="44">
        <f>Iochpe_Trimestral!B206</f>
        <v>83594000</v>
      </c>
      <c r="C83" s="44">
        <f>Iochpe_Trimestral!C206</f>
        <v>54384000</v>
      </c>
      <c r="D83" s="44">
        <f>Iochpe_Trimestral!D206</f>
        <v>54319000</v>
      </c>
      <c r="E83" s="44">
        <f>Iochpe_Trimestral!E206</f>
        <v>42951000</v>
      </c>
      <c r="F83" s="44">
        <f>Iochpe_Trimestral!F206</f>
        <v>53001000</v>
      </c>
      <c r="G83" s="44">
        <f>Iochpe_Trimestral!G206</f>
        <v>91306000</v>
      </c>
      <c r="H83" s="44">
        <f>Iochpe_Trimestral!H206</f>
        <v>46586000</v>
      </c>
      <c r="I83" s="44">
        <f>Iochpe_Trimestral!I206</f>
        <v>75459000</v>
      </c>
      <c r="J83" s="44">
        <f>Iochpe_Trimestral!J206</f>
        <v>63682000</v>
      </c>
      <c r="K83" s="44">
        <f>Iochpe_Trimestral!K206</f>
        <v>135622000</v>
      </c>
      <c r="M83" s="24">
        <f t="shared" si="34"/>
        <v>83594</v>
      </c>
      <c r="N83" s="24">
        <f t="shared" si="34"/>
        <v>54384</v>
      </c>
      <c r="O83" s="24">
        <f t="shared" si="34"/>
        <v>54319</v>
      </c>
      <c r="P83" s="24">
        <f t="shared" si="34"/>
        <v>42951</v>
      </c>
      <c r="Q83" s="24">
        <f t="shared" si="34"/>
        <v>53001</v>
      </c>
      <c r="R83" s="24">
        <f t="shared" si="34"/>
        <v>91306</v>
      </c>
      <c r="S83" s="24">
        <f t="shared" si="34"/>
        <v>46586</v>
      </c>
      <c r="T83" s="24">
        <f t="shared" si="34"/>
        <v>75459</v>
      </c>
      <c r="U83" s="24">
        <f t="shared" si="34"/>
        <v>63682</v>
      </c>
      <c r="V83" s="24">
        <f t="shared" si="34"/>
        <v>135622</v>
      </c>
    </row>
    <row r="84" spans="1:33" x14ac:dyDescent="0.25">
      <c r="A84" t="s">
        <v>407</v>
      </c>
      <c r="B84" s="44">
        <f>B80+B81</f>
        <v>65965000</v>
      </c>
      <c r="C84" s="44">
        <f t="shared" ref="C84:K84" si="40">C80+C81</f>
        <v>151948000</v>
      </c>
      <c r="D84" s="44">
        <f t="shared" si="40"/>
        <v>202632000</v>
      </c>
      <c r="E84" s="44">
        <f t="shared" si="40"/>
        <v>85806000</v>
      </c>
      <c r="F84" s="44">
        <f t="shared" si="40"/>
        <v>35916000</v>
      </c>
      <c r="G84" s="44">
        <f t="shared" si="40"/>
        <v>-416155000</v>
      </c>
      <c r="H84" s="44">
        <f t="shared" si="40"/>
        <v>29239000</v>
      </c>
      <c r="I84" s="44">
        <f t="shared" si="40"/>
        <v>-66707000</v>
      </c>
      <c r="J84" s="44">
        <f t="shared" si="40"/>
        <v>164039000</v>
      </c>
      <c r="K84" s="44">
        <f t="shared" si="40"/>
        <v>385748000</v>
      </c>
      <c r="M84" s="24">
        <f t="shared" si="34"/>
        <v>65965</v>
      </c>
      <c r="N84" s="24">
        <f t="shared" si="34"/>
        <v>151948</v>
      </c>
      <c r="O84" s="24">
        <f t="shared" si="34"/>
        <v>202632</v>
      </c>
      <c r="P84" s="24">
        <f t="shared" si="34"/>
        <v>85806</v>
      </c>
      <c r="Q84" s="24">
        <f t="shared" si="34"/>
        <v>35916</v>
      </c>
      <c r="R84" s="24">
        <f t="shared" si="34"/>
        <v>-416155</v>
      </c>
      <c r="S84" s="24">
        <f t="shared" si="34"/>
        <v>29239</v>
      </c>
      <c r="T84" s="24">
        <f t="shared" si="34"/>
        <v>-66707</v>
      </c>
      <c r="U84" s="24">
        <f t="shared" si="34"/>
        <v>164039</v>
      </c>
      <c r="V84" s="24">
        <f t="shared" si="34"/>
        <v>385748</v>
      </c>
    </row>
    <row r="85" spans="1:33" x14ac:dyDescent="0.25">
      <c r="A85" t="s">
        <v>408</v>
      </c>
      <c r="B85" s="44">
        <f>B86+B87</f>
        <v>-15089000</v>
      </c>
      <c r="C85" s="44">
        <f t="shared" ref="C85:K85" si="41">C86+C87</f>
        <v>21886000</v>
      </c>
      <c r="D85" s="44">
        <f t="shared" si="41"/>
        <v>55824000</v>
      </c>
      <c r="E85" s="44">
        <f t="shared" si="41"/>
        <v>22315000</v>
      </c>
      <c r="F85" s="44">
        <f t="shared" si="41"/>
        <v>5590000</v>
      </c>
      <c r="G85" s="44">
        <f t="shared" si="41"/>
        <v>-64469000</v>
      </c>
      <c r="H85" s="44">
        <f t="shared" si="41"/>
        <v>34932000</v>
      </c>
      <c r="I85" s="44">
        <f t="shared" si="41"/>
        <v>26154000</v>
      </c>
      <c r="J85" s="44">
        <f t="shared" si="41"/>
        <v>86037000</v>
      </c>
      <c r="K85" s="44">
        <f t="shared" si="41"/>
        <v>150726000</v>
      </c>
      <c r="M85" s="24">
        <f t="shared" si="34"/>
        <v>-15089</v>
      </c>
      <c r="N85" s="24">
        <f t="shared" si="34"/>
        <v>21886</v>
      </c>
      <c r="O85" s="24">
        <f t="shared" si="34"/>
        <v>55824</v>
      </c>
      <c r="P85" s="24">
        <f t="shared" si="34"/>
        <v>22315</v>
      </c>
      <c r="Q85" s="24">
        <f t="shared" si="34"/>
        <v>5590</v>
      </c>
      <c r="R85" s="24">
        <f t="shared" si="34"/>
        <v>-64469</v>
      </c>
      <c r="S85" s="24">
        <f t="shared" si="34"/>
        <v>34932</v>
      </c>
      <c r="T85" s="24">
        <f t="shared" si="34"/>
        <v>26154</v>
      </c>
      <c r="U85" s="24">
        <f t="shared" si="34"/>
        <v>86037</v>
      </c>
      <c r="V85" s="24">
        <f t="shared" si="34"/>
        <v>150726</v>
      </c>
    </row>
    <row r="86" spans="1:33" x14ac:dyDescent="0.25">
      <c r="A86" t="s">
        <v>409</v>
      </c>
      <c r="B86" s="44">
        <f>Iochpe_Trimestral!B209</f>
        <v>60493000</v>
      </c>
      <c r="C86" s="44">
        <f>Iochpe_Trimestral!C209</f>
        <v>50226000</v>
      </c>
      <c r="D86" s="44">
        <f>Iochpe_Trimestral!D209</f>
        <v>46957000</v>
      </c>
      <c r="E86" s="44">
        <f>Iochpe_Trimestral!E209</f>
        <v>20564000</v>
      </c>
      <c r="F86" s="44">
        <f>Iochpe_Trimestral!F209</f>
        <v>36588000</v>
      </c>
      <c r="G86" s="44">
        <f>Iochpe_Trimestral!G209</f>
        <v>-4858000</v>
      </c>
      <c r="H86" s="44">
        <f>Iochpe_Trimestral!H209</f>
        <v>29013000</v>
      </c>
      <c r="I86" s="44">
        <f>Iochpe_Trimestral!I209</f>
        <v>27830000</v>
      </c>
      <c r="J86" s="44">
        <f>Iochpe_Trimestral!J209</f>
        <v>78198000</v>
      </c>
      <c r="K86" s="44">
        <f>Iochpe_Trimestral!K209</f>
        <v>167367000</v>
      </c>
      <c r="M86" s="24">
        <f t="shared" si="34"/>
        <v>60493</v>
      </c>
      <c r="N86" s="24">
        <f t="shared" si="34"/>
        <v>50226</v>
      </c>
      <c r="O86" s="24">
        <f t="shared" si="34"/>
        <v>46957</v>
      </c>
      <c r="P86" s="24">
        <f t="shared" si="34"/>
        <v>20564</v>
      </c>
      <c r="Q86" s="24">
        <f t="shared" si="34"/>
        <v>36588</v>
      </c>
      <c r="R86" s="24">
        <f t="shared" si="34"/>
        <v>-4858</v>
      </c>
      <c r="S86" s="24">
        <f t="shared" si="34"/>
        <v>29013</v>
      </c>
      <c r="T86" s="24">
        <f t="shared" si="34"/>
        <v>27830</v>
      </c>
      <c r="U86" s="24">
        <f t="shared" si="34"/>
        <v>78198</v>
      </c>
      <c r="V86" s="24">
        <f t="shared" si="34"/>
        <v>167367</v>
      </c>
    </row>
    <row r="87" spans="1:33" x14ac:dyDescent="0.25">
      <c r="A87" t="s">
        <v>410</v>
      </c>
      <c r="B87" s="44">
        <f>Iochpe_Trimestral!B210</f>
        <v>-75582000</v>
      </c>
      <c r="C87" s="44">
        <f>Iochpe_Trimestral!C210</f>
        <v>-28340000</v>
      </c>
      <c r="D87" s="44">
        <f>Iochpe_Trimestral!D210</f>
        <v>8867000</v>
      </c>
      <c r="E87" s="44">
        <f>Iochpe_Trimestral!E210</f>
        <v>1751000</v>
      </c>
      <c r="F87" s="44">
        <f>Iochpe_Trimestral!F210</f>
        <v>-30998000</v>
      </c>
      <c r="G87" s="44">
        <f>Iochpe_Trimestral!G210</f>
        <v>-59611000</v>
      </c>
      <c r="H87" s="44">
        <f>Iochpe_Trimestral!H210</f>
        <v>5919000</v>
      </c>
      <c r="I87" s="44">
        <f>Iochpe_Trimestral!I210</f>
        <v>-1676000</v>
      </c>
      <c r="J87" s="44">
        <f>Iochpe_Trimestral!J210</f>
        <v>7839000</v>
      </c>
      <c r="K87" s="44">
        <f>Iochpe_Trimestral!K210</f>
        <v>-16641000</v>
      </c>
      <c r="M87" s="24">
        <f t="shared" si="34"/>
        <v>-75582</v>
      </c>
      <c r="N87" s="24">
        <f t="shared" si="34"/>
        <v>-28340</v>
      </c>
      <c r="O87" s="24">
        <f t="shared" si="34"/>
        <v>8867</v>
      </c>
      <c r="P87" s="24">
        <f t="shared" si="34"/>
        <v>1751</v>
      </c>
      <c r="Q87" s="24">
        <f t="shared" si="34"/>
        <v>-30998</v>
      </c>
      <c r="R87" s="24">
        <f t="shared" si="34"/>
        <v>-59611</v>
      </c>
      <c r="S87" s="24">
        <f t="shared" si="34"/>
        <v>5919</v>
      </c>
      <c r="T87" s="24">
        <f t="shared" si="34"/>
        <v>-1676</v>
      </c>
      <c r="U87" s="24">
        <f t="shared" si="34"/>
        <v>7839</v>
      </c>
      <c r="V87" s="24">
        <f t="shared" si="34"/>
        <v>-16641</v>
      </c>
    </row>
    <row r="88" spans="1:33" x14ac:dyDescent="0.25">
      <c r="A88" t="s">
        <v>411</v>
      </c>
      <c r="B88" s="44">
        <f>B84-B85</f>
        <v>81054000</v>
      </c>
      <c r="C88" s="44">
        <f t="shared" ref="C88:K88" si="42">C84-C85</f>
        <v>130062000</v>
      </c>
      <c r="D88" s="44">
        <f t="shared" si="42"/>
        <v>146808000</v>
      </c>
      <c r="E88" s="44">
        <f t="shared" si="42"/>
        <v>63491000</v>
      </c>
      <c r="F88" s="44">
        <f t="shared" si="42"/>
        <v>30326000</v>
      </c>
      <c r="G88" s="44">
        <f t="shared" si="42"/>
        <v>-351686000</v>
      </c>
      <c r="H88" s="44">
        <f t="shared" si="42"/>
        <v>-5693000</v>
      </c>
      <c r="I88" s="44">
        <f t="shared" si="42"/>
        <v>-92861000</v>
      </c>
      <c r="J88" s="44">
        <f t="shared" si="42"/>
        <v>78002000</v>
      </c>
      <c r="K88" s="44">
        <f t="shared" si="42"/>
        <v>235022000</v>
      </c>
      <c r="M88" s="24">
        <f t="shared" si="34"/>
        <v>81054</v>
      </c>
      <c r="N88" s="24">
        <f t="shared" si="34"/>
        <v>130062</v>
      </c>
      <c r="O88" s="24">
        <f t="shared" si="34"/>
        <v>146808</v>
      </c>
      <c r="P88" s="24">
        <f t="shared" si="34"/>
        <v>63491</v>
      </c>
      <c r="Q88" s="24">
        <f t="shared" si="34"/>
        <v>30326</v>
      </c>
      <c r="R88" s="24">
        <f t="shared" si="34"/>
        <v>-351686</v>
      </c>
      <c r="S88" s="24">
        <f t="shared" si="34"/>
        <v>-5693</v>
      </c>
      <c r="T88" s="24">
        <f t="shared" si="34"/>
        <v>-92861</v>
      </c>
      <c r="U88" s="24">
        <f t="shared" si="34"/>
        <v>78002</v>
      </c>
      <c r="V88" s="24">
        <f t="shared" si="34"/>
        <v>235022</v>
      </c>
      <c r="Y88" s="30">
        <f>M88</f>
        <v>81054</v>
      </c>
      <c r="Z88" s="30">
        <f t="shared" ref="Z88:AG88" si="43">O88</f>
        <v>146808</v>
      </c>
      <c r="AA88" s="30">
        <f t="shared" si="43"/>
        <v>63491</v>
      </c>
      <c r="AB88" s="30">
        <f t="shared" si="43"/>
        <v>30326</v>
      </c>
      <c r="AC88" s="30">
        <f t="shared" si="43"/>
        <v>-351686</v>
      </c>
      <c r="AD88" s="30">
        <f t="shared" si="43"/>
        <v>-5693</v>
      </c>
      <c r="AE88" s="30">
        <f t="shared" si="43"/>
        <v>-92861</v>
      </c>
      <c r="AF88" s="30">
        <f t="shared" si="43"/>
        <v>78002</v>
      </c>
      <c r="AG88" s="30">
        <f t="shared" si="43"/>
        <v>235022</v>
      </c>
    </row>
    <row r="89" spans="1:33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M89" s="24">
        <f t="shared" si="34"/>
        <v>0</v>
      </c>
      <c r="N89" s="24">
        <f t="shared" si="34"/>
        <v>0</v>
      </c>
      <c r="O89" s="24">
        <f t="shared" si="34"/>
        <v>0</v>
      </c>
      <c r="P89" s="24">
        <f t="shared" si="34"/>
        <v>0</v>
      </c>
      <c r="Q89" s="24">
        <f t="shared" si="34"/>
        <v>0</v>
      </c>
      <c r="R89" s="24">
        <f t="shared" si="34"/>
        <v>0</v>
      </c>
      <c r="S89" s="24">
        <f t="shared" si="34"/>
        <v>0</v>
      </c>
      <c r="T89" s="24">
        <f t="shared" si="34"/>
        <v>0</v>
      </c>
      <c r="U89" s="24">
        <f t="shared" si="34"/>
        <v>0</v>
      </c>
      <c r="V89" s="24">
        <f t="shared" si="34"/>
        <v>0</v>
      </c>
    </row>
    <row r="90" spans="1:33" x14ac:dyDescent="0.25">
      <c r="A90" t="s">
        <v>412</v>
      </c>
      <c r="B90" s="44">
        <f>Iochpe_Trimestral!B212</f>
        <v>0</v>
      </c>
      <c r="C90" s="44">
        <f>Iochpe_Trimestral!C212</f>
        <v>0</v>
      </c>
      <c r="D90" s="44">
        <f>Iochpe_Trimestral!D212</f>
        <v>0</v>
      </c>
      <c r="E90" s="44">
        <f>Iochpe_Trimestral!E212</f>
        <v>0</v>
      </c>
      <c r="F90" s="44">
        <f>Iochpe_Trimestral!F212</f>
        <v>0</v>
      </c>
      <c r="G90" s="44">
        <f>Iochpe_Trimestral!G212</f>
        <v>0</v>
      </c>
      <c r="H90" s="44">
        <f>Iochpe_Trimestral!H212</f>
        <v>0</v>
      </c>
      <c r="I90" s="44">
        <f>Iochpe_Trimestral!I212</f>
        <v>0</v>
      </c>
      <c r="J90" s="44">
        <f>Iochpe_Trimestral!J212</f>
        <v>0</v>
      </c>
      <c r="K90" s="44">
        <f>Iochpe_Trimestral!K212</f>
        <v>0</v>
      </c>
      <c r="M90" s="24">
        <f t="shared" si="34"/>
        <v>0</v>
      </c>
      <c r="N90" s="24">
        <f t="shared" si="34"/>
        <v>0</v>
      </c>
      <c r="O90" s="24">
        <f t="shared" si="34"/>
        <v>0</v>
      </c>
      <c r="P90" s="24">
        <f t="shared" si="34"/>
        <v>0</v>
      </c>
      <c r="Q90" s="24">
        <f t="shared" si="34"/>
        <v>0</v>
      </c>
      <c r="R90" s="24">
        <f t="shared" si="34"/>
        <v>0</v>
      </c>
      <c r="S90" s="24">
        <f t="shared" si="34"/>
        <v>0</v>
      </c>
      <c r="T90" s="24">
        <f t="shared" si="34"/>
        <v>0</v>
      </c>
      <c r="U90" s="24">
        <f t="shared" si="34"/>
        <v>0</v>
      </c>
      <c r="V90" s="24">
        <f t="shared" si="34"/>
        <v>0</v>
      </c>
    </row>
    <row r="91" spans="1:33" x14ac:dyDescent="0.25">
      <c r="A91" t="s">
        <v>413</v>
      </c>
      <c r="B91" s="44">
        <f>B88+B90</f>
        <v>81054000</v>
      </c>
      <c r="C91" s="44">
        <f t="shared" ref="C91:K91" si="44">C88+C90</f>
        <v>130062000</v>
      </c>
      <c r="D91" s="44">
        <f t="shared" si="44"/>
        <v>146808000</v>
      </c>
      <c r="E91" s="44">
        <f t="shared" si="44"/>
        <v>63491000</v>
      </c>
      <c r="F91" s="44">
        <f t="shared" si="44"/>
        <v>30326000</v>
      </c>
      <c r="G91" s="44">
        <f t="shared" si="44"/>
        <v>-351686000</v>
      </c>
      <c r="H91" s="44">
        <f t="shared" si="44"/>
        <v>-5693000</v>
      </c>
      <c r="I91" s="44">
        <f t="shared" si="44"/>
        <v>-92861000</v>
      </c>
      <c r="J91" s="44">
        <f t="shared" si="44"/>
        <v>78002000</v>
      </c>
      <c r="K91" s="44">
        <f t="shared" si="44"/>
        <v>235022000</v>
      </c>
      <c r="M91" s="24">
        <f t="shared" si="34"/>
        <v>81054</v>
      </c>
      <c r="N91" s="24">
        <f t="shared" si="34"/>
        <v>130062</v>
      </c>
      <c r="O91" s="24">
        <f t="shared" si="34"/>
        <v>146808</v>
      </c>
      <c r="P91" s="24">
        <f t="shared" si="34"/>
        <v>63491</v>
      </c>
      <c r="Q91" s="24">
        <f t="shared" si="34"/>
        <v>30326</v>
      </c>
      <c r="R91" s="24">
        <f t="shared" si="34"/>
        <v>-351686</v>
      </c>
      <c r="S91" s="24">
        <f t="shared" si="34"/>
        <v>-5693</v>
      </c>
      <c r="T91" s="24">
        <f t="shared" si="34"/>
        <v>-92861</v>
      </c>
      <c r="U91" s="24">
        <f t="shared" si="34"/>
        <v>78002</v>
      </c>
      <c r="V91" s="24">
        <f t="shared" si="34"/>
        <v>235022</v>
      </c>
    </row>
    <row r="92" spans="1:33" x14ac:dyDescent="0.25">
      <c r="A92" t="s">
        <v>414</v>
      </c>
      <c r="B92" s="44">
        <f>Iochpe_Trimestral!B216</f>
        <v>17956000</v>
      </c>
      <c r="C92" s="44">
        <f>Iochpe_Trimestral!C216</f>
        <v>19672000</v>
      </c>
      <c r="D92" s="44">
        <f>Iochpe_Trimestral!D216</f>
        <v>21970000</v>
      </c>
      <c r="E92" s="44">
        <f>Iochpe_Trimestral!E216</f>
        <v>24382000</v>
      </c>
      <c r="F92" s="44">
        <f>Iochpe_Trimestral!F216</f>
        <v>21176000</v>
      </c>
      <c r="G92" s="44">
        <f>Iochpe_Trimestral!G216</f>
        <v>667000</v>
      </c>
      <c r="H92" s="44">
        <f>Iochpe_Trimestral!H216</f>
        <v>13184000</v>
      </c>
      <c r="I92" s="44">
        <f>Iochpe_Trimestral!I216</f>
        <v>36839000</v>
      </c>
      <c r="J92" s="44">
        <f>Iochpe_Trimestral!J216</f>
        <v>26500000</v>
      </c>
      <c r="K92" s="44">
        <f>Iochpe_Trimestral!K216</f>
        <v>20235000</v>
      </c>
      <c r="M92" s="24">
        <f t="shared" si="34"/>
        <v>17956</v>
      </c>
      <c r="N92" s="24">
        <f t="shared" si="34"/>
        <v>19672</v>
      </c>
      <c r="O92" s="24">
        <f t="shared" si="34"/>
        <v>21970</v>
      </c>
      <c r="P92" s="24">
        <f t="shared" si="34"/>
        <v>24382</v>
      </c>
      <c r="Q92" s="24">
        <f t="shared" si="34"/>
        <v>21176</v>
      </c>
      <c r="R92" s="24">
        <f t="shared" si="34"/>
        <v>667</v>
      </c>
      <c r="S92" s="24">
        <f t="shared" si="34"/>
        <v>13184</v>
      </c>
      <c r="T92" s="24">
        <f t="shared" si="34"/>
        <v>36839</v>
      </c>
      <c r="U92" s="24">
        <f t="shared" si="34"/>
        <v>26500</v>
      </c>
      <c r="V92" s="24">
        <f t="shared" si="34"/>
        <v>20235</v>
      </c>
    </row>
    <row r="93" spans="1:33" x14ac:dyDescent="0.25">
      <c r="A93" t="s">
        <v>415</v>
      </c>
      <c r="B93" s="44">
        <f>B91-B92</f>
        <v>63098000</v>
      </c>
      <c r="C93" s="44">
        <f t="shared" ref="C93:K93" si="45">C91-C92</f>
        <v>110390000</v>
      </c>
      <c r="D93" s="44">
        <f t="shared" si="45"/>
        <v>124838000</v>
      </c>
      <c r="E93" s="44">
        <f t="shared" si="45"/>
        <v>39109000</v>
      </c>
      <c r="F93" s="44">
        <f t="shared" si="45"/>
        <v>9150000</v>
      </c>
      <c r="G93" s="44">
        <f t="shared" si="45"/>
        <v>-352353000</v>
      </c>
      <c r="H93" s="44">
        <f t="shared" si="45"/>
        <v>-18877000</v>
      </c>
      <c r="I93" s="44">
        <f t="shared" si="45"/>
        <v>-129700000</v>
      </c>
      <c r="J93" s="44">
        <f t="shared" si="45"/>
        <v>51502000</v>
      </c>
      <c r="K93" s="44">
        <f t="shared" si="45"/>
        <v>214787000</v>
      </c>
      <c r="M93" s="24">
        <f t="shared" si="34"/>
        <v>63098</v>
      </c>
      <c r="N93" s="24">
        <f t="shared" si="34"/>
        <v>110390</v>
      </c>
      <c r="O93" s="24">
        <f t="shared" si="34"/>
        <v>124838</v>
      </c>
      <c r="P93" s="24">
        <f t="shared" si="34"/>
        <v>39109</v>
      </c>
      <c r="Q93" s="24">
        <f t="shared" si="34"/>
        <v>9150</v>
      </c>
      <c r="R93" s="24">
        <f t="shared" si="34"/>
        <v>-352353</v>
      </c>
      <c r="S93" s="24">
        <f t="shared" si="34"/>
        <v>-18877</v>
      </c>
      <c r="T93" s="24">
        <f t="shared" si="34"/>
        <v>-129700</v>
      </c>
      <c r="U93" s="24">
        <f t="shared" si="34"/>
        <v>51502</v>
      </c>
      <c r="V93" s="24">
        <f t="shared" si="34"/>
        <v>214787</v>
      </c>
      <c r="Y93" s="24">
        <f>M93</f>
        <v>63098</v>
      </c>
      <c r="Z93" s="24">
        <f t="shared" ref="Z93:AG93" si="46">O93</f>
        <v>124838</v>
      </c>
      <c r="AA93" s="24">
        <f t="shared" si="46"/>
        <v>39109</v>
      </c>
      <c r="AB93" s="24">
        <f t="shared" si="46"/>
        <v>9150</v>
      </c>
      <c r="AC93" s="24">
        <f t="shared" si="46"/>
        <v>-352353</v>
      </c>
      <c r="AD93" s="24">
        <f t="shared" si="46"/>
        <v>-18877</v>
      </c>
      <c r="AE93" s="24">
        <f t="shared" si="46"/>
        <v>-129700</v>
      </c>
      <c r="AF93" s="24">
        <f t="shared" si="46"/>
        <v>51502</v>
      </c>
      <c r="AG93" s="24">
        <f t="shared" si="46"/>
        <v>214787</v>
      </c>
    </row>
    <row r="94" spans="1:33" x14ac:dyDescent="0.25">
      <c r="B94" s="44"/>
      <c r="C94" s="44"/>
      <c r="D94" s="44"/>
      <c r="E94" s="44"/>
      <c r="F94" s="44"/>
      <c r="G94" s="44"/>
      <c r="H94" s="44"/>
      <c r="I94" s="44"/>
      <c r="J94" s="44"/>
      <c r="K94" s="44"/>
      <c r="M94" s="24">
        <f t="shared" si="34"/>
        <v>0</v>
      </c>
      <c r="N94" s="24">
        <f t="shared" si="34"/>
        <v>0</v>
      </c>
      <c r="O94" s="24">
        <f t="shared" si="34"/>
        <v>0</v>
      </c>
      <c r="P94" s="24">
        <f t="shared" si="34"/>
        <v>0</v>
      </c>
      <c r="Q94" s="24">
        <f t="shared" si="34"/>
        <v>0</v>
      </c>
      <c r="R94" s="24">
        <f t="shared" si="34"/>
        <v>0</v>
      </c>
      <c r="S94" s="24">
        <f t="shared" si="34"/>
        <v>0</v>
      </c>
      <c r="T94" s="24">
        <f t="shared" si="34"/>
        <v>0</v>
      </c>
      <c r="U94" s="24">
        <f t="shared" si="34"/>
        <v>0</v>
      </c>
      <c r="V94" s="24">
        <f t="shared" si="34"/>
        <v>0</v>
      </c>
    </row>
    <row r="95" spans="1:33" x14ac:dyDescent="0.25">
      <c r="A95" t="s">
        <v>416</v>
      </c>
      <c r="B95" s="44">
        <f>Iochpe_Trimestral!B225</f>
        <v>98743000</v>
      </c>
      <c r="C95" s="44">
        <f>Iochpe_Trimestral!C225</f>
        <v>102515000</v>
      </c>
      <c r="D95" s="44">
        <f>Iochpe_Trimestral!D225</f>
        <v>106911000</v>
      </c>
      <c r="E95" s="44">
        <f>Iochpe_Trimestral!E225</f>
        <v>111385000</v>
      </c>
      <c r="F95" s="44">
        <f>Iochpe_Trimestral!F225</f>
        <v>119472000</v>
      </c>
      <c r="G95" s="44">
        <f>Iochpe_Trimestral!G225</f>
        <v>132517000</v>
      </c>
      <c r="H95" s="44">
        <f>Iochpe_Trimestral!H225</f>
        <v>136197000</v>
      </c>
      <c r="I95" s="44">
        <f>Iochpe_Trimestral!I225</f>
        <v>168675000</v>
      </c>
      <c r="J95" s="44">
        <f>Iochpe_Trimestral!J225</f>
        <v>144857000</v>
      </c>
      <c r="K95" s="44">
        <f>Iochpe_Trimestral!K225</f>
        <v>138439000</v>
      </c>
      <c r="M95" s="24">
        <f t="shared" si="34"/>
        <v>98743</v>
      </c>
      <c r="N95" s="24">
        <f t="shared" si="34"/>
        <v>102515</v>
      </c>
      <c r="O95" s="24">
        <f t="shared" si="34"/>
        <v>106911</v>
      </c>
      <c r="P95" s="24">
        <f t="shared" si="34"/>
        <v>111385</v>
      </c>
      <c r="Q95" s="24">
        <f t="shared" si="34"/>
        <v>119472</v>
      </c>
      <c r="R95" s="24">
        <f t="shared" si="34"/>
        <v>132517</v>
      </c>
      <c r="S95" s="24">
        <f t="shared" si="34"/>
        <v>136197</v>
      </c>
      <c r="T95" s="24">
        <f t="shared" si="34"/>
        <v>168675</v>
      </c>
      <c r="U95" s="24">
        <f t="shared" si="34"/>
        <v>144857</v>
      </c>
      <c r="V95" s="24">
        <f t="shared" si="34"/>
        <v>138439</v>
      </c>
    </row>
    <row r="96" spans="1:33" x14ac:dyDescent="0.25">
      <c r="A96" t="s">
        <v>417</v>
      </c>
      <c r="B96" s="44">
        <f>B80+B95</f>
        <v>242510000</v>
      </c>
      <c r="C96" s="44">
        <f t="shared" ref="C96:K96" si="47">C80+C95</f>
        <v>304167000</v>
      </c>
      <c r="D96" s="44">
        <f t="shared" si="47"/>
        <v>333648000</v>
      </c>
      <c r="E96" s="44">
        <f t="shared" si="47"/>
        <v>215484000</v>
      </c>
      <c r="F96" s="44">
        <f t="shared" si="47"/>
        <v>204968000</v>
      </c>
      <c r="G96" s="44">
        <f t="shared" si="47"/>
        <v>-199517000</v>
      </c>
      <c r="H96" s="44">
        <f t="shared" si="47"/>
        <v>207676000</v>
      </c>
      <c r="I96" s="44">
        <f t="shared" si="47"/>
        <v>159013000</v>
      </c>
      <c r="J96" s="44">
        <f t="shared" si="47"/>
        <v>367938000</v>
      </c>
      <c r="K96" s="44">
        <f t="shared" si="47"/>
        <v>592730000</v>
      </c>
      <c r="M96" s="24">
        <f t="shared" si="34"/>
        <v>242510</v>
      </c>
      <c r="N96" s="24">
        <f t="shared" si="34"/>
        <v>304167</v>
      </c>
      <c r="O96" s="24">
        <f t="shared" si="34"/>
        <v>333648</v>
      </c>
      <c r="P96" s="24">
        <f t="shared" si="34"/>
        <v>215484</v>
      </c>
      <c r="Q96" s="24">
        <f t="shared" si="34"/>
        <v>204968</v>
      </c>
      <c r="R96" s="24">
        <f t="shared" ref="R96:V96" si="48">G96/1000</f>
        <v>-199517</v>
      </c>
      <c r="S96" s="24">
        <f t="shared" si="48"/>
        <v>207676</v>
      </c>
      <c r="T96" s="24">
        <f t="shared" si="48"/>
        <v>159013</v>
      </c>
      <c r="U96" s="24">
        <f t="shared" si="48"/>
        <v>367938</v>
      </c>
      <c r="V96" s="24">
        <f t="shared" si="48"/>
        <v>592730</v>
      </c>
      <c r="Y96" s="24">
        <f>M96</f>
        <v>242510</v>
      </c>
      <c r="Z96" s="24">
        <f t="shared" ref="Z96:AG96" si="49">O96</f>
        <v>333648</v>
      </c>
      <c r="AA96" s="24">
        <f t="shared" si="49"/>
        <v>215484</v>
      </c>
      <c r="AB96" s="24">
        <f t="shared" si="49"/>
        <v>204968</v>
      </c>
      <c r="AC96" s="24">
        <f t="shared" si="49"/>
        <v>-199517</v>
      </c>
      <c r="AD96" s="24">
        <f t="shared" si="49"/>
        <v>207676</v>
      </c>
      <c r="AE96" s="24">
        <f t="shared" si="49"/>
        <v>159013</v>
      </c>
      <c r="AF96" s="24">
        <f t="shared" si="49"/>
        <v>367938</v>
      </c>
      <c r="AG96" s="24">
        <f t="shared" si="49"/>
        <v>592730</v>
      </c>
    </row>
    <row r="97" spans="1:33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M97" s="24"/>
      <c r="N97" s="24"/>
      <c r="O97" s="24"/>
      <c r="P97" s="24"/>
      <c r="Q97" s="24"/>
      <c r="R97" s="24"/>
      <c r="S97" s="24"/>
      <c r="T97" s="24"/>
      <c r="U97" s="24"/>
      <c r="V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31" t="s">
        <v>418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M98" s="24"/>
      <c r="N98" s="24"/>
      <c r="O98" s="24"/>
      <c r="P98" s="24"/>
      <c r="Q98" s="24"/>
      <c r="R98" s="24"/>
      <c r="S98" s="24"/>
      <c r="T98" s="24"/>
      <c r="U98" s="24"/>
      <c r="V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31" t="s">
        <v>419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M99" s="24"/>
      <c r="N99" s="24"/>
      <c r="O99" s="24"/>
      <c r="P99" s="24"/>
      <c r="Q99" s="24"/>
      <c r="R99" s="24"/>
      <c r="S99" s="24"/>
      <c r="T99" s="24"/>
      <c r="U99" s="24"/>
      <c r="V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31" t="s">
        <v>420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31" t="s">
        <v>421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31" t="s">
        <v>422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t="s">
        <v>423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M107" s="24">
        <f>B107/1000</f>
        <v>0</v>
      </c>
      <c r="N107" s="24">
        <f t="shared" ref="N107:V107" si="50">C107/1000</f>
        <v>0</v>
      </c>
      <c r="O107" s="24">
        <f t="shared" si="50"/>
        <v>0</v>
      </c>
      <c r="P107" s="24">
        <f t="shared" si="50"/>
        <v>0</v>
      </c>
      <c r="Q107" s="24">
        <f t="shared" si="50"/>
        <v>0</v>
      </c>
      <c r="R107" s="24">
        <f t="shared" si="50"/>
        <v>0</v>
      </c>
      <c r="S107" s="24">
        <f t="shared" si="50"/>
        <v>0</v>
      </c>
      <c r="T107" s="24">
        <f t="shared" si="50"/>
        <v>0</v>
      </c>
      <c r="U107" s="24">
        <f t="shared" si="50"/>
        <v>0</v>
      </c>
      <c r="V107" s="24">
        <f t="shared" si="50"/>
        <v>0</v>
      </c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t="s">
        <v>424</v>
      </c>
      <c r="B108" s="44">
        <v>0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t="s">
        <v>425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t="s">
        <v>426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t="s">
        <v>427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t="s">
        <v>428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t="s">
        <v>429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t="s">
        <v>430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t="s">
        <v>431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t="s">
        <v>432</v>
      </c>
      <c r="B119" s="44">
        <v>56210000000</v>
      </c>
      <c r="C119" s="44">
        <v>56210000000</v>
      </c>
      <c r="D119" s="44">
        <v>56210000000</v>
      </c>
      <c r="E119" s="44">
        <v>56210000000</v>
      </c>
      <c r="F119" s="44">
        <v>56210000000</v>
      </c>
      <c r="G119" s="44">
        <v>56210000000</v>
      </c>
      <c r="H119" s="44">
        <v>56210000000</v>
      </c>
      <c r="I119" s="44">
        <v>56210000000</v>
      </c>
      <c r="J119" s="44">
        <v>56210000000</v>
      </c>
      <c r="K119" s="44">
        <v>56210000000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t="s">
        <v>433</v>
      </c>
      <c r="B120" s="44">
        <f>Iochpe_Trimestral!B222</f>
        <v>-196078000</v>
      </c>
      <c r="C120" s="44">
        <f>Iochpe_Trimestral!C222</f>
        <v>232741000</v>
      </c>
      <c r="D120" s="44">
        <f>Iochpe_Trimestral!D222</f>
        <v>235128000</v>
      </c>
      <c r="E120" s="44">
        <f>Iochpe_Trimestral!E222</f>
        <v>385892000</v>
      </c>
      <c r="F120" s="44">
        <f>Iochpe_Trimestral!F222</f>
        <v>-124120000</v>
      </c>
      <c r="G120" s="44">
        <f>Iochpe_Trimestral!G222</f>
        <v>-240313000</v>
      </c>
      <c r="H120" s="44">
        <f>Iochpe_Trimestral!H222</f>
        <v>218623000</v>
      </c>
      <c r="I120" s="44">
        <f>Iochpe_Trimestral!I222</f>
        <v>258979000</v>
      </c>
      <c r="J120" s="44">
        <f>Iochpe_Trimestral!J222</f>
        <v>-130975000</v>
      </c>
      <c r="K120" s="44">
        <f>Iochpe_Trimestral!K222</f>
        <v>75540000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t="s">
        <v>434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t="s">
        <v>435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t="s">
        <v>436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t="s">
        <v>437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t="s">
        <v>438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2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25">
      <c r="A127" t="s">
        <v>439</v>
      </c>
      <c r="B127" s="44">
        <f>SUM(B128:B129)</f>
        <v>-117041000</v>
      </c>
      <c r="C127" s="44">
        <f t="shared" ref="C127:K127" si="51">SUM(C128:C129)</f>
        <v>-111482000</v>
      </c>
      <c r="D127" s="44">
        <f t="shared" si="51"/>
        <v>-158383000</v>
      </c>
      <c r="E127" s="44">
        <f t="shared" si="51"/>
        <v>-157655000</v>
      </c>
      <c r="F127" s="44">
        <f t="shared" si="51"/>
        <v>-101373000</v>
      </c>
      <c r="G127" s="44">
        <f t="shared" si="51"/>
        <v>-73299000</v>
      </c>
      <c r="H127" s="44">
        <f t="shared" si="51"/>
        <v>-72614000</v>
      </c>
      <c r="I127" s="44">
        <f t="shared" si="51"/>
        <v>-88508000</v>
      </c>
      <c r="J127" s="44">
        <f t="shared" si="51"/>
        <v>-54561000</v>
      </c>
      <c r="K127" s="44">
        <f t="shared" si="51"/>
        <v>-75406000</v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25">
      <c r="A128" t="s">
        <v>440</v>
      </c>
      <c r="B128" s="44">
        <f>IF(Iochpe_Trimestral!B243="-",0,Iochpe_Trimestral!B243)</f>
        <v>0</v>
      </c>
      <c r="C128" s="44">
        <f>IF(Iochpe_Trimestral!C243="-",0,Iochpe_Trimestral!C243)</f>
        <v>0</v>
      </c>
      <c r="D128" s="44">
        <f>IF(Iochpe_Trimestral!D243="-",0,Iochpe_Trimestral!D243)</f>
        <v>-32049000</v>
      </c>
      <c r="E128" s="44">
        <f>IF(Iochpe_Trimestral!E243="-",0,Iochpe_Trimestral!E243)</f>
        <v>-28885000</v>
      </c>
      <c r="F128" s="44">
        <f>IF(Iochpe_Trimestral!F243="-",0,Iochpe_Trimestral!F243)</f>
        <v>0</v>
      </c>
      <c r="G128" s="44">
        <f>IF(Iochpe_Trimestral!G243="-",0,Iochpe_Trimestral!G243)</f>
        <v>0</v>
      </c>
      <c r="H128" s="44">
        <f>IF(Iochpe_Trimestral!H243="-",0,Iochpe_Trimestral!H243)</f>
        <v>0</v>
      </c>
      <c r="I128" s="44">
        <f>IF(Iochpe_Trimestral!I243="-",0,Iochpe_Trimestral!I243)</f>
        <v>0</v>
      </c>
      <c r="J128" s="44">
        <f>IF(Iochpe_Trimestral!J243="-",0,Iochpe_Trimestral!J243)</f>
        <v>0</v>
      </c>
      <c r="K128" s="44">
        <f>IF(Iochpe_Trimestral!K243="-",0,Iochpe_Trimestral!K243)</f>
        <v>0</v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25">
      <c r="A129" t="s">
        <v>441</v>
      </c>
      <c r="B129" s="44">
        <f>IF(Iochpe_Trimestral!B244="-",0,Iochpe_Trimestral!B244)</f>
        <v>-117041000</v>
      </c>
      <c r="C129" s="44">
        <f>IF(Iochpe_Trimestral!C244="-",0,Iochpe_Trimestral!C244)</f>
        <v>-111482000</v>
      </c>
      <c r="D129" s="44">
        <f>IF(Iochpe_Trimestral!D244="-",0,Iochpe_Trimestral!D244)</f>
        <v>-126334000</v>
      </c>
      <c r="E129" s="44">
        <f>IF(Iochpe_Trimestral!E244="-",0,Iochpe_Trimestral!E244)</f>
        <v>-128770000</v>
      </c>
      <c r="F129" s="44">
        <f>IF(Iochpe_Trimestral!F244="-",0,Iochpe_Trimestral!F244)</f>
        <v>-101373000</v>
      </c>
      <c r="G129" s="44">
        <f>IF(Iochpe_Trimestral!G244="-",0,Iochpe_Trimestral!G244)</f>
        <v>-73299000</v>
      </c>
      <c r="H129" s="44">
        <f>IF(Iochpe_Trimestral!H244="-",0,Iochpe_Trimestral!H244)</f>
        <v>-72614000</v>
      </c>
      <c r="I129" s="44">
        <f>IF(Iochpe_Trimestral!I244="-",0,Iochpe_Trimestral!I244)</f>
        <v>-88508000</v>
      </c>
      <c r="J129" s="44">
        <f>IF(Iochpe_Trimestral!J244="-",0,Iochpe_Trimestral!J244)</f>
        <v>-54561000</v>
      </c>
      <c r="K129" s="44">
        <f>IF(Iochpe_Trimestral!K244="-",0,Iochpe_Trimestral!K244)</f>
        <v>-75406000</v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25">
      <c r="A130" t="s">
        <v>442</v>
      </c>
      <c r="B130" s="44">
        <f>IF(Iochpe_Trimestral!B246="-",0,Iochpe_Trimestral!B246)</f>
        <v>0</v>
      </c>
      <c r="C130" s="44">
        <f>IF(Iochpe_Trimestral!C246="-",0,Iochpe_Trimestral!C246)</f>
        <v>0</v>
      </c>
      <c r="D130" s="44">
        <f>IF(Iochpe_Trimestral!D246="-",0,Iochpe_Trimestral!D246)</f>
        <v>0</v>
      </c>
      <c r="E130" s="44">
        <f>IF(Iochpe_Trimestral!E246="-",0,Iochpe_Trimestral!E246)</f>
        <v>0</v>
      </c>
      <c r="F130" s="44">
        <f>IF(Iochpe_Trimestral!F246="-",0,Iochpe_Trimestral!F246)</f>
        <v>0</v>
      </c>
      <c r="G130" s="44">
        <f>IF(Iochpe_Trimestral!G246="-",0,Iochpe_Trimestral!G246)</f>
        <v>0</v>
      </c>
      <c r="H130" s="44">
        <f>IF(Iochpe_Trimestral!H246="-",0,Iochpe_Trimestral!H246)</f>
        <v>0</v>
      </c>
      <c r="I130" s="44">
        <f>IF(Iochpe_Trimestral!I246="-",0,Iochpe_Trimestral!I246)</f>
        <v>0</v>
      </c>
      <c r="J130" s="44">
        <f>IF(Iochpe_Trimestral!J246="-",0,Iochpe_Trimestral!J246)</f>
        <v>0</v>
      </c>
      <c r="K130" s="44">
        <f>IF(Iochpe_Trimestral!K246="-",0,Iochpe_Trimestral!K246)</f>
        <v>0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25">
      <c r="A132" t="s">
        <v>443</v>
      </c>
      <c r="B132" s="44">
        <v>-98038000000</v>
      </c>
      <c r="C132" s="44"/>
      <c r="D132" s="44">
        <v>-81795000000</v>
      </c>
      <c r="E132" s="44">
        <v>-70781000000</v>
      </c>
      <c r="F132" s="44">
        <v>-48137000000</v>
      </c>
      <c r="G132" s="44">
        <v>-42403000000</v>
      </c>
      <c r="H132" s="44">
        <v>-41246000000</v>
      </c>
      <c r="I132" s="44">
        <v>-28505000000</v>
      </c>
      <c r="J132" s="44">
        <v>-29974000000</v>
      </c>
      <c r="K132" s="4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25">
      <c r="A133" t="s">
        <v>444</v>
      </c>
      <c r="B133" s="44">
        <f t="shared" ref="B133:E133" si="52">B127+B130</f>
        <v>-117041000</v>
      </c>
      <c r="C133" s="44"/>
      <c r="D133" s="44">
        <f t="shared" si="52"/>
        <v>-158383000</v>
      </c>
      <c r="E133" s="44">
        <f t="shared" si="52"/>
        <v>-157655000</v>
      </c>
      <c r="F133" s="44">
        <f>F127+F130</f>
        <v>-101373000</v>
      </c>
      <c r="G133" s="44">
        <f t="shared" ref="G133:K133" si="53">G127+G130</f>
        <v>-73299000</v>
      </c>
      <c r="H133" s="44">
        <f t="shared" si="53"/>
        <v>-72614000</v>
      </c>
      <c r="I133" s="44">
        <f t="shared" si="53"/>
        <v>-88508000</v>
      </c>
      <c r="J133" s="44">
        <f t="shared" si="53"/>
        <v>-54561000</v>
      </c>
      <c r="K133" s="44">
        <f t="shared" si="53"/>
        <v>-75406000</v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25">
      <c r="A135" t="s">
        <v>445</v>
      </c>
      <c r="B135" s="44"/>
      <c r="C135" s="44"/>
      <c r="D135" s="44"/>
      <c r="E135" s="44"/>
      <c r="F135" s="44"/>
      <c r="G135" s="44">
        <v>-43614000000</v>
      </c>
      <c r="H135" s="44">
        <v>-43987000000</v>
      </c>
      <c r="I135" s="44">
        <v>-28505000000</v>
      </c>
      <c r="J135" s="44">
        <v>-29974000000</v>
      </c>
      <c r="K135" s="45">
        <f>J135-J136+K136</f>
        <v>-30288000000</v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25">
      <c r="A136" t="s">
        <v>446</v>
      </c>
      <c r="B136" s="44"/>
      <c r="C136" s="44"/>
      <c r="D136" s="44"/>
      <c r="E136" s="44"/>
      <c r="F136" s="44"/>
      <c r="G136" s="44"/>
      <c r="H136" s="44"/>
      <c r="I136" s="44"/>
      <c r="J136" s="44">
        <v>-16557000000</v>
      </c>
      <c r="K136" s="44">
        <v>-16871000000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25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25">
      <c r="A138" t="s">
        <v>447</v>
      </c>
      <c r="B138" s="44"/>
      <c r="C138" s="44"/>
      <c r="D138" s="44"/>
      <c r="E138" s="44"/>
      <c r="F138" s="44"/>
      <c r="G138" s="44"/>
      <c r="H138" s="44">
        <f>H120+H135</f>
        <v>-43768377000</v>
      </c>
      <c r="I138" s="44">
        <f t="shared" ref="I138:J138" si="54">I120+I135</f>
        <v>-28246021000</v>
      </c>
      <c r="J138" s="44">
        <f t="shared" si="54"/>
        <v>-30104975000</v>
      </c>
      <c r="K138" s="45">
        <f>K118+K135</f>
        <v>-30288000000</v>
      </c>
      <c r="M138" s="24">
        <f>B138/1000</f>
        <v>0</v>
      </c>
      <c r="N138" s="24">
        <f t="shared" ref="N138:V140" si="55">C138/1000</f>
        <v>0</v>
      </c>
      <c r="O138" s="24">
        <f t="shared" si="55"/>
        <v>0</v>
      </c>
      <c r="P138" s="24">
        <f t="shared" si="55"/>
        <v>0</v>
      </c>
      <c r="Q138" s="24">
        <f t="shared" si="55"/>
        <v>0</v>
      </c>
      <c r="R138" s="24">
        <f t="shared" si="55"/>
        <v>0</v>
      </c>
      <c r="S138" s="24">
        <f t="shared" si="55"/>
        <v>-43768377</v>
      </c>
      <c r="T138" s="24">
        <f t="shared" si="55"/>
        <v>-28246021</v>
      </c>
      <c r="U138" s="24">
        <f t="shared" si="55"/>
        <v>-30104975</v>
      </c>
      <c r="V138" s="24">
        <f t="shared" si="55"/>
        <v>-30288000</v>
      </c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x14ac:dyDescent="0.25">
      <c r="A139" t="s">
        <v>448</v>
      </c>
      <c r="B139" s="44"/>
      <c r="C139" s="44"/>
      <c r="D139" s="44">
        <v>-19554000000</v>
      </c>
      <c r="E139" s="44">
        <v>15626000000</v>
      </c>
      <c r="F139" s="44">
        <v>41572000000</v>
      </c>
      <c r="G139" s="44">
        <v>44064000000</v>
      </c>
      <c r="H139" s="44">
        <v>54600000000</v>
      </c>
      <c r="I139" s="44">
        <v>73232000000</v>
      </c>
      <c r="J139" s="44">
        <v>112820000000</v>
      </c>
      <c r="K139" s="44"/>
      <c r="M139" s="24">
        <f>B139/1000</f>
        <v>0</v>
      </c>
      <c r="N139" s="24">
        <f t="shared" si="55"/>
        <v>0</v>
      </c>
      <c r="O139" s="24">
        <f t="shared" si="55"/>
        <v>-19554000</v>
      </c>
      <c r="P139" s="24">
        <f t="shared" si="55"/>
        <v>15626000</v>
      </c>
      <c r="Q139" s="24">
        <f t="shared" si="55"/>
        <v>41572000</v>
      </c>
      <c r="R139" s="24">
        <f t="shared" si="55"/>
        <v>44064000</v>
      </c>
      <c r="S139" s="24">
        <f t="shared" si="55"/>
        <v>54600000</v>
      </c>
      <c r="T139" s="24">
        <f t="shared" si="55"/>
        <v>73232000</v>
      </c>
      <c r="U139" s="24">
        <f t="shared" si="55"/>
        <v>112820000</v>
      </c>
      <c r="V139" s="24">
        <f t="shared" si="55"/>
        <v>0</v>
      </c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25">
      <c r="A140" t="s">
        <v>449</v>
      </c>
      <c r="B140" s="44">
        <f>B120+IF(ISBLANK(B132),B133,B132)</f>
        <v>-98234078000</v>
      </c>
      <c r="C140" s="44"/>
      <c r="D140" s="44">
        <f t="shared" ref="D140:K140" si="56">D120+IF(ISBLANK(D132),D133,D132)</f>
        <v>-81559872000</v>
      </c>
      <c r="E140" s="44">
        <f t="shared" si="56"/>
        <v>-70395108000</v>
      </c>
      <c r="F140" s="44">
        <f t="shared" si="56"/>
        <v>-48261120000</v>
      </c>
      <c r="G140" s="44">
        <f t="shared" si="56"/>
        <v>-42643313000</v>
      </c>
      <c r="H140" s="44">
        <f t="shared" si="56"/>
        <v>-41027377000</v>
      </c>
      <c r="I140" s="44">
        <f t="shared" si="56"/>
        <v>-28246021000</v>
      </c>
      <c r="J140" s="44">
        <f t="shared" si="56"/>
        <v>-30104975000</v>
      </c>
      <c r="K140" s="44">
        <f t="shared" si="56"/>
        <v>134000</v>
      </c>
      <c r="M140" s="24">
        <f>B140/1000</f>
        <v>-98234078</v>
      </c>
      <c r="N140" s="24">
        <f t="shared" si="55"/>
        <v>0</v>
      </c>
      <c r="O140" s="24">
        <f t="shared" si="55"/>
        <v>-81559872</v>
      </c>
      <c r="P140" s="24">
        <f t="shared" si="55"/>
        <v>-70395108</v>
      </c>
      <c r="Q140" s="24">
        <f t="shared" si="55"/>
        <v>-48261120</v>
      </c>
      <c r="R140" s="24">
        <f t="shared" si="55"/>
        <v>-42643313</v>
      </c>
      <c r="S140" s="24">
        <f t="shared" si="55"/>
        <v>-41027377</v>
      </c>
      <c r="T140" s="24">
        <f t="shared" si="55"/>
        <v>-28246021</v>
      </c>
      <c r="U140" s="24">
        <f t="shared" si="55"/>
        <v>-30104975</v>
      </c>
      <c r="V140" s="24">
        <f t="shared" si="55"/>
        <v>134</v>
      </c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25">
      <c r="A141" t="s">
        <v>450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>
        <v>31085000000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25">
      <c r="A142" t="s">
        <v>451</v>
      </c>
      <c r="B142" s="44"/>
      <c r="C142" s="44"/>
      <c r="D142" s="44"/>
      <c r="E142" s="44"/>
      <c r="F142" s="44"/>
      <c r="G142" s="44"/>
      <c r="H142" s="44"/>
      <c r="I142" s="44"/>
      <c r="J142" s="44">
        <v>15775000000</v>
      </c>
      <c r="K142" s="44">
        <v>48618000000</v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25">
      <c r="A143" t="s">
        <v>452</v>
      </c>
      <c r="B143" s="44"/>
      <c r="C143" s="44"/>
      <c r="D143" s="44"/>
      <c r="E143" s="44"/>
      <c r="F143" s="44"/>
      <c r="G143" s="44"/>
      <c r="H143" s="44"/>
      <c r="I143" s="44"/>
      <c r="J143" s="44">
        <v>40138000000</v>
      </c>
      <c r="K143" s="4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25">
      <c r="A144" t="s">
        <v>453</v>
      </c>
      <c r="B144" s="44"/>
      <c r="C144" s="44"/>
      <c r="D144" s="44"/>
      <c r="E144" s="44"/>
      <c r="F144" s="44"/>
      <c r="G144" s="44"/>
      <c r="H144" s="44"/>
      <c r="I144" s="44">
        <v>23243000000</v>
      </c>
      <c r="J144" s="44">
        <v>30243000000</v>
      </c>
      <c r="K144" s="4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25">
      <c r="A145" t="s">
        <v>454</v>
      </c>
      <c r="B145" s="44"/>
      <c r="C145" s="44"/>
      <c r="D145" s="44"/>
      <c r="E145" s="44"/>
      <c r="F145" s="44"/>
      <c r="G145" s="44"/>
      <c r="H145" s="44"/>
      <c r="I145" s="44"/>
      <c r="J145" s="44">
        <v>42439000000</v>
      </c>
      <c r="K145" s="44">
        <v>79703000000</v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25">
      <c r="B147" s="26"/>
      <c r="C147" s="26"/>
      <c r="D147" s="26"/>
      <c r="E147" s="26"/>
      <c r="F147" s="26"/>
      <c r="G147" s="26"/>
      <c r="H147" s="26"/>
      <c r="I147" s="26"/>
      <c r="J147" s="26" t="s">
        <v>455</v>
      </c>
      <c r="K147" s="2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25">
      <c r="B148" s="26"/>
      <c r="C148" s="26"/>
      <c r="D148" s="26"/>
      <c r="E148" s="26"/>
      <c r="F148" s="26"/>
      <c r="G148" s="26"/>
      <c r="H148" s="26"/>
      <c r="I148" s="26"/>
      <c r="J148" s="33"/>
      <c r="K148" s="26" t="s">
        <v>456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25">
      <c r="A150" t="s">
        <v>457</v>
      </c>
      <c r="B150" s="27">
        <f t="shared" ref="B150:K150" si="57">B107/B$71</f>
        <v>0</v>
      </c>
      <c r="C150" s="27">
        <f t="shared" si="57"/>
        <v>0</v>
      </c>
      <c r="D150" s="27">
        <f t="shared" si="57"/>
        <v>0</v>
      </c>
      <c r="E150" s="27">
        <f t="shared" si="57"/>
        <v>0</v>
      </c>
      <c r="F150" s="27">
        <f t="shared" si="57"/>
        <v>0</v>
      </c>
      <c r="G150" s="27">
        <f t="shared" si="57"/>
        <v>0</v>
      </c>
      <c r="H150" s="27">
        <f t="shared" si="57"/>
        <v>0</v>
      </c>
      <c r="I150" s="27">
        <f t="shared" si="57"/>
        <v>0</v>
      </c>
      <c r="J150" s="27">
        <f t="shared" si="57"/>
        <v>0</v>
      </c>
      <c r="K150" s="27">
        <f t="shared" si="57"/>
        <v>0</v>
      </c>
      <c r="M150" s="25">
        <f>B150</f>
        <v>0</v>
      </c>
      <c r="N150" s="25">
        <f t="shared" ref="N150:V154" si="58">C150</f>
        <v>0</v>
      </c>
      <c r="O150" s="25">
        <f t="shared" si="58"/>
        <v>0</v>
      </c>
      <c r="P150" s="25">
        <f t="shared" si="58"/>
        <v>0</v>
      </c>
      <c r="Q150" s="25">
        <f t="shared" si="58"/>
        <v>0</v>
      </c>
      <c r="R150" s="25">
        <f t="shared" si="58"/>
        <v>0</v>
      </c>
      <c r="S150" s="25">
        <f t="shared" si="58"/>
        <v>0</v>
      </c>
      <c r="T150" s="25">
        <f t="shared" si="58"/>
        <v>0</v>
      </c>
      <c r="U150" s="25">
        <f t="shared" si="58"/>
        <v>0</v>
      </c>
      <c r="V150" s="25">
        <f t="shared" si="58"/>
        <v>0</v>
      </c>
    </row>
    <row r="151" spans="1:33" x14ac:dyDescent="0.25">
      <c r="A151" t="s">
        <v>458</v>
      </c>
      <c r="B151" s="27">
        <f>B96/B$71</f>
        <v>9.8257012729126916E-2</v>
      </c>
      <c r="C151" s="27">
        <f>C96/C$71</f>
        <v>0.11403421622588272</v>
      </c>
      <c r="D151" s="27">
        <f t="shared" ref="D151:K151" si="59">D96/D71</f>
        <v>0.13123807433472931</v>
      </c>
      <c r="E151" s="27">
        <f t="shared" si="59"/>
        <v>9.2140967761522322E-2</v>
      </c>
      <c r="F151" s="27">
        <f t="shared" si="59"/>
        <v>9.2138670119034774E-2</v>
      </c>
      <c r="G151" s="27">
        <f t="shared" si="59"/>
        <v>-0.17025901058502668</v>
      </c>
      <c r="H151" s="27">
        <f t="shared" si="59"/>
        <v>8.2582962323183642E-2</v>
      </c>
      <c r="I151" s="27">
        <f t="shared" si="59"/>
        <v>5.5805626993396522E-2</v>
      </c>
      <c r="J151" s="27">
        <f t="shared" si="59"/>
        <v>0.11743591642260563</v>
      </c>
      <c r="K151" s="27">
        <f t="shared" si="59"/>
        <v>0.18616576048805814</v>
      </c>
      <c r="M151" s="25">
        <f>B151</f>
        <v>9.8257012729126916E-2</v>
      </c>
      <c r="N151" s="25">
        <f t="shared" si="58"/>
        <v>0.11403421622588272</v>
      </c>
      <c r="O151" s="25">
        <f t="shared" si="58"/>
        <v>0.13123807433472931</v>
      </c>
      <c r="P151" s="25">
        <f t="shared" si="58"/>
        <v>9.2140967761522322E-2</v>
      </c>
      <c r="Q151" s="25">
        <f t="shared" si="58"/>
        <v>9.2138670119034774E-2</v>
      </c>
      <c r="R151" s="25">
        <f t="shared" si="58"/>
        <v>-0.17025901058502668</v>
      </c>
      <c r="S151" s="25">
        <f t="shared" si="58"/>
        <v>8.2582962323183642E-2</v>
      </c>
      <c r="T151" s="25">
        <f t="shared" si="58"/>
        <v>5.5805626993396522E-2</v>
      </c>
      <c r="U151" s="25">
        <f t="shared" si="58"/>
        <v>0.11743591642260563</v>
      </c>
      <c r="V151" s="25">
        <f t="shared" si="58"/>
        <v>0.18616576048805814</v>
      </c>
      <c r="Y151" s="27">
        <f>M151</f>
        <v>9.8257012729126916E-2</v>
      </c>
      <c r="Z151" s="27">
        <f t="shared" ref="Z151:AG153" si="60">O151</f>
        <v>0.13123807433472931</v>
      </c>
      <c r="AA151" s="27">
        <f t="shared" si="60"/>
        <v>9.2140967761522322E-2</v>
      </c>
      <c r="AB151" s="27">
        <f t="shared" si="60"/>
        <v>9.2138670119034774E-2</v>
      </c>
      <c r="AC151" s="27">
        <f t="shared" si="60"/>
        <v>-0.17025901058502668</v>
      </c>
      <c r="AD151" s="27">
        <f t="shared" si="60"/>
        <v>8.2582962323183642E-2</v>
      </c>
      <c r="AE151" s="27">
        <f t="shared" si="60"/>
        <v>5.5805626993396522E-2</v>
      </c>
      <c r="AF151" s="27">
        <f t="shared" si="60"/>
        <v>0.11743591642260563</v>
      </c>
      <c r="AG151" s="27">
        <f t="shared" si="60"/>
        <v>0.18616576048805814</v>
      </c>
    </row>
    <row r="152" spans="1:33" x14ac:dyDescent="0.25">
      <c r="A152" t="s">
        <v>459</v>
      </c>
      <c r="B152" s="27">
        <f t="shared" ref="B152:K152" si="61">B91/B71</f>
        <v>3.2840393838384614E-2</v>
      </c>
      <c r="C152" s="27">
        <f t="shared" si="61"/>
        <v>4.8761102390367003E-2</v>
      </c>
      <c r="D152" s="27">
        <f t="shared" si="61"/>
        <v>5.7745885534853915E-2</v>
      </c>
      <c r="E152" s="27">
        <f t="shared" si="61"/>
        <v>2.7148754358313442E-2</v>
      </c>
      <c r="F152" s="27">
        <f t="shared" si="61"/>
        <v>1.3632358758585967E-2</v>
      </c>
      <c r="G152" s="27">
        <f t="shared" si="61"/>
        <v>-0.30011332566450827</v>
      </c>
      <c r="H152" s="27">
        <f t="shared" si="61"/>
        <v>-2.2638379230430308E-3</v>
      </c>
      <c r="I152" s="27">
        <f t="shared" si="61"/>
        <v>-3.2589576501504874E-2</v>
      </c>
      <c r="J152" s="27">
        <f t="shared" si="61"/>
        <v>2.4896141069408663E-2</v>
      </c>
      <c r="K152" s="27">
        <f t="shared" si="61"/>
        <v>7.3816154676538057E-2</v>
      </c>
      <c r="M152" s="25">
        <f>B152</f>
        <v>3.2840393838384614E-2</v>
      </c>
      <c r="N152" s="25">
        <f t="shared" si="58"/>
        <v>4.8761102390367003E-2</v>
      </c>
      <c r="O152" s="25">
        <f t="shared" si="58"/>
        <v>5.7745885534853915E-2</v>
      </c>
      <c r="P152" s="25">
        <f t="shared" si="58"/>
        <v>2.7148754358313442E-2</v>
      </c>
      <c r="Q152" s="25">
        <f t="shared" si="58"/>
        <v>1.3632358758585967E-2</v>
      </c>
      <c r="R152" s="25">
        <f t="shared" si="58"/>
        <v>-0.30011332566450827</v>
      </c>
      <c r="S152" s="25">
        <f t="shared" si="58"/>
        <v>-2.2638379230430308E-3</v>
      </c>
      <c r="T152" s="25">
        <f t="shared" si="58"/>
        <v>-3.2589576501504874E-2</v>
      </c>
      <c r="U152" s="25">
        <f t="shared" si="58"/>
        <v>2.4896141069408663E-2</v>
      </c>
      <c r="V152" s="25">
        <f t="shared" si="58"/>
        <v>7.3816154676538057E-2</v>
      </c>
      <c r="Y152" s="27">
        <f>M152</f>
        <v>3.2840393838384614E-2</v>
      </c>
      <c r="Z152" s="27">
        <f t="shared" si="60"/>
        <v>5.7745885534853915E-2</v>
      </c>
      <c r="AA152" s="27">
        <f t="shared" si="60"/>
        <v>2.7148754358313442E-2</v>
      </c>
      <c r="AB152" s="27">
        <f t="shared" si="60"/>
        <v>1.3632358758585967E-2</v>
      </c>
      <c r="AC152" s="27">
        <f t="shared" si="60"/>
        <v>-0.30011332566450827</v>
      </c>
      <c r="AD152" s="27">
        <f t="shared" si="60"/>
        <v>-2.2638379230430308E-3</v>
      </c>
      <c r="AE152" s="27">
        <f t="shared" si="60"/>
        <v>-3.2589576501504874E-2</v>
      </c>
      <c r="AF152" s="27">
        <f t="shared" si="60"/>
        <v>2.4896141069408663E-2</v>
      </c>
      <c r="AG152" s="27">
        <f t="shared" si="60"/>
        <v>7.3816154676538057E-2</v>
      </c>
    </row>
    <row r="153" spans="1:33" x14ac:dyDescent="0.25">
      <c r="A153" t="s">
        <v>460</v>
      </c>
      <c r="B153" s="34">
        <f>B$29/B96</f>
        <v>11.245643478619439</v>
      </c>
      <c r="C153" s="34">
        <f>C$29/C96</f>
        <v>8.6811784315852805</v>
      </c>
      <c r="D153" s="34">
        <f t="shared" ref="D153:K153" si="62">D29/D96</f>
        <v>8.0567034719225052</v>
      </c>
      <c r="E153" s="34">
        <f t="shared" si="62"/>
        <v>11.209398377605762</v>
      </c>
      <c r="F153" s="34">
        <f t="shared" si="62"/>
        <v>15.446894149330626</v>
      </c>
      <c r="G153" s="34">
        <f t="shared" si="62"/>
        <v>-18.22484299583494</v>
      </c>
      <c r="H153" s="34">
        <f t="shared" si="62"/>
        <v>18.002181282382171</v>
      </c>
      <c r="I153" s="34">
        <f t="shared" si="62"/>
        <v>22.104796463182254</v>
      </c>
      <c r="J153" s="34">
        <f t="shared" si="62"/>
        <v>11.027053470965217</v>
      </c>
      <c r="K153" s="34">
        <f t="shared" si="62"/>
        <v>6.7786108346127243</v>
      </c>
      <c r="M153" s="35">
        <f>B153</f>
        <v>11.245643478619439</v>
      </c>
      <c r="N153" s="35">
        <f t="shared" si="58"/>
        <v>8.6811784315852805</v>
      </c>
      <c r="O153" s="35">
        <f t="shared" si="58"/>
        <v>8.0567034719225052</v>
      </c>
      <c r="P153" s="35">
        <f t="shared" si="58"/>
        <v>11.209398377605762</v>
      </c>
      <c r="Q153" s="35">
        <f t="shared" si="58"/>
        <v>15.446894149330626</v>
      </c>
      <c r="R153" s="35">
        <f t="shared" si="58"/>
        <v>-18.22484299583494</v>
      </c>
      <c r="S153" s="35">
        <f t="shared" si="58"/>
        <v>18.002181282382171</v>
      </c>
      <c r="T153" s="35">
        <f t="shared" si="58"/>
        <v>22.104796463182254</v>
      </c>
      <c r="U153" s="35">
        <f t="shared" si="58"/>
        <v>11.027053470965217</v>
      </c>
      <c r="V153" s="35">
        <f t="shared" si="58"/>
        <v>6.7786108346127243</v>
      </c>
      <c r="Y153" s="36">
        <f>M153</f>
        <v>11.245643478619439</v>
      </c>
      <c r="Z153" s="36">
        <f t="shared" si="60"/>
        <v>8.0567034719225052</v>
      </c>
      <c r="AA153" s="36">
        <f t="shared" si="60"/>
        <v>11.209398377605762</v>
      </c>
      <c r="AB153" s="36">
        <f t="shared" si="60"/>
        <v>15.446894149330626</v>
      </c>
      <c r="AC153" s="36">
        <f t="shared" si="60"/>
        <v>-18.22484299583494</v>
      </c>
      <c r="AD153" s="36">
        <f t="shared" si="60"/>
        <v>18.002181282382171</v>
      </c>
      <c r="AE153" s="36">
        <f t="shared" si="60"/>
        <v>22.104796463182254</v>
      </c>
      <c r="AF153" s="36">
        <f t="shared" si="60"/>
        <v>11.027053470965217</v>
      </c>
      <c r="AG153" s="36">
        <f t="shared" si="60"/>
        <v>6.7786108346127243</v>
      </c>
    </row>
    <row r="154" spans="1:33" x14ac:dyDescent="0.25">
      <c r="A154" t="s">
        <v>461</v>
      </c>
      <c r="B154" s="34" t="e">
        <f t="shared" ref="B154:K154" si="63">B$29/B107</f>
        <v>#DIV/0!</v>
      </c>
      <c r="C154" s="34" t="e">
        <f t="shared" si="63"/>
        <v>#DIV/0!</v>
      </c>
      <c r="D154" s="34" t="e">
        <f t="shared" si="63"/>
        <v>#DIV/0!</v>
      </c>
      <c r="E154" s="34" t="e">
        <f t="shared" si="63"/>
        <v>#DIV/0!</v>
      </c>
      <c r="F154" s="34" t="e">
        <f t="shared" si="63"/>
        <v>#DIV/0!</v>
      </c>
      <c r="G154" s="34" t="e">
        <f t="shared" si="63"/>
        <v>#DIV/0!</v>
      </c>
      <c r="H154" s="34" t="e">
        <f t="shared" si="63"/>
        <v>#DIV/0!</v>
      </c>
      <c r="I154" s="34" t="e">
        <f t="shared" si="63"/>
        <v>#DIV/0!</v>
      </c>
      <c r="J154" s="34" t="e">
        <f t="shared" si="63"/>
        <v>#DIV/0!</v>
      </c>
      <c r="K154" s="34" t="e">
        <f t="shared" si="63"/>
        <v>#DIV/0!</v>
      </c>
      <c r="M154" s="35" t="e">
        <f t="shared" ref="M154" si="64">B154</f>
        <v>#DIV/0!</v>
      </c>
      <c r="N154" s="35" t="e">
        <f t="shared" si="58"/>
        <v>#DIV/0!</v>
      </c>
      <c r="O154" s="35" t="e">
        <f t="shared" si="58"/>
        <v>#DIV/0!</v>
      </c>
      <c r="P154" s="35" t="e">
        <f t="shared" si="58"/>
        <v>#DIV/0!</v>
      </c>
      <c r="Q154" s="35" t="e">
        <f t="shared" si="58"/>
        <v>#DIV/0!</v>
      </c>
      <c r="R154" s="35" t="e">
        <f t="shared" si="58"/>
        <v>#DIV/0!</v>
      </c>
      <c r="S154" s="35" t="e">
        <f t="shared" si="58"/>
        <v>#DIV/0!</v>
      </c>
      <c r="T154" s="35" t="e">
        <f t="shared" si="58"/>
        <v>#DIV/0!</v>
      </c>
      <c r="U154" s="35" t="e">
        <f t="shared" si="58"/>
        <v>#DIV/0!</v>
      </c>
      <c r="V154" s="35" t="e">
        <f t="shared" si="58"/>
        <v>#DIV/0!</v>
      </c>
      <c r="Y154" t="str">
        <f>CONCATENATE(TEXT(Y153, "0,0" ), " x")</f>
        <v>11,2 x</v>
      </c>
      <c r="Z154" t="str">
        <f t="shared" ref="Z154:AG154" si="65">CONCATENATE(TEXT(Z153, "0,0" ), " x")</f>
        <v>8,1 x</v>
      </c>
      <c r="AA154" t="str">
        <f t="shared" si="65"/>
        <v>11,2 x</v>
      </c>
      <c r="AB154" t="str">
        <f t="shared" si="65"/>
        <v>15,4 x</v>
      </c>
      <c r="AC154" t="str">
        <f t="shared" si="65"/>
        <v>-18,2 x</v>
      </c>
      <c r="AD154" t="str">
        <f t="shared" si="65"/>
        <v>18,0 x</v>
      </c>
      <c r="AE154" t="str">
        <f t="shared" si="65"/>
        <v>22,1 x</v>
      </c>
      <c r="AF154" t="str">
        <f t="shared" si="65"/>
        <v>11,0 x</v>
      </c>
      <c r="AG154" t="str">
        <f t="shared" si="65"/>
        <v>6,8 x</v>
      </c>
    </row>
    <row r="176" spans="2:14" x14ac:dyDescent="0.25">
      <c r="B176" s="21" t="s">
        <v>467</v>
      </c>
      <c r="C176" s="21" t="s">
        <v>361</v>
      </c>
      <c r="D176" s="21" t="s">
        <v>462</v>
      </c>
      <c r="E176" s="21">
        <v>2015</v>
      </c>
      <c r="F176" s="21" t="s">
        <v>362</v>
      </c>
      <c r="G176" s="21" t="s">
        <v>363</v>
      </c>
      <c r="H176" s="21" t="s">
        <v>364</v>
      </c>
      <c r="I176" s="21" t="s">
        <v>365</v>
      </c>
      <c r="J176" s="21" t="s">
        <v>366</v>
      </c>
      <c r="K176" s="21" t="s">
        <v>463</v>
      </c>
      <c r="M176" s="21" t="s">
        <v>464</v>
      </c>
      <c r="N176" s="21" t="s">
        <v>465</v>
      </c>
    </row>
    <row r="177" spans="1:14" x14ac:dyDescent="0.25">
      <c r="A177" t="s">
        <v>466</v>
      </c>
      <c r="B177" s="26">
        <f t="shared" ref="B177:K178" si="66">B95</f>
        <v>98743000</v>
      </c>
      <c r="C177" s="26">
        <f t="shared" si="66"/>
        <v>102515000</v>
      </c>
      <c r="D177" s="26">
        <f t="shared" si="66"/>
        <v>106911000</v>
      </c>
      <c r="E177" s="26">
        <f t="shared" si="66"/>
        <v>111385000</v>
      </c>
      <c r="F177" s="26">
        <f t="shared" si="66"/>
        <v>119472000</v>
      </c>
      <c r="G177" s="26">
        <f t="shared" si="66"/>
        <v>132517000</v>
      </c>
      <c r="H177" s="26">
        <f t="shared" si="66"/>
        <v>136197000</v>
      </c>
      <c r="I177" s="26">
        <f t="shared" si="66"/>
        <v>168675000</v>
      </c>
      <c r="J177" s="26">
        <f t="shared" si="66"/>
        <v>144857000</v>
      </c>
      <c r="K177" s="26">
        <f t="shared" si="66"/>
        <v>138439000</v>
      </c>
      <c r="M177" s="37">
        <f>SMALL(C177:K177,1)</f>
        <v>102515000</v>
      </c>
      <c r="N177" s="37">
        <f>LARGE(C177:K177,1)</f>
        <v>168675000</v>
      </c>
    </row>
    <row r="178" spans="1:14" x14ac:dyDescent="0.25">
      <c r="A178" t="s">
        <v>417</v>
      </c>
      <c r="B178" s="26">
        <f t="shared" si="66"/>
        <v>242510000</v>
      </c>
      <c r="C178" s="26">
        <f t="shared" si="66"/>
        <v>304167000</v>
      </c>
      <c r="D178" s="26">
        <f t="shared" si="66"/>
        <v>333648000</v>
      </c>
      <c r="E178" s="26">
        <f t="shared" si="66"/>
        <v>215484000</v>
      </c>
      <c r="F178" s="26">
        <f t="shared" si="66"/>
        <v>204968000</v>
      </c>
      <c r="G178" s="26">
        <f t="shared" si="66"/>
        <v>-199517000</v>
      </c>
      <c r="H178" s="26">
        <f t="shared" si="66"/>
        <v>207676000</v>
      </c>
      <c r="I178" s="26">
        <f t="shared" si="66"/>
        <v>159013000</v>
      </c>
      <c r="J178" s="26">
        <f t="shared" si="66"/>
        <v>367938000</v>
      </c>
      <c r="K178" s="26">
        <f t="shared" si="66"/>
        <v>592730000</v>
      </c>
      <c r="M178" s="37">
        <f t="shared" ref="M178:M180" si="67">SMALL(C178:K178,1)</f>
        <v>-199517000</v>
      </c>
      <c r="N178" s="37">
        <f t="shared" ref="N178:N180" si="68">LARGE(C178:K178,1)</f>
        <v>592730000</v>
      </c>
    </row>
    <row r="179" spans="1:14" x14ac:dyDescent="0.25">
      <c r="A179" t="s">
        <v>404</v>
      </c>
      <c r="B179" s="26">
        <f t="shared" ref="B179:K179" si="69">B81</f>
        <v>-77802000</v>
      </c>
      <c r="C179" s="26">
        <f t="shared" si="69"/>
        <v>-49704000</v>
      </c>
      <c r="D179" s="26">
        <f t="shared" si="69"/>
        <v>-24105000</v>
      </c>
      <c r="E179" s="26">
        <f t="shared" si="69"/>
        <v>-18293000</v>
      </c>
      <c r="F179" s="26">
        <f t="shared" si="69"/>
        <v>-49580000</v>
      </c>
      <c r="G179" s="26">
        <f t="shared" si="69"/>
        <v>-84121000</v>
      </c>
      <c r="H179" s="26">
        <f t="shared" si="69"/>
        <v>-42240000</v>
      </c>
      <c r="I179" s="26">
        <f t="shared" si="69"/>
        <v>-57045000</v>
      </c>
      <c r="J179" s="26">
        <f t="shared" si="69"/>
        <v>-59042000</v>
      </c>
      <c r="K179" s="26">
        <f t="shared" si="69"/>
        <v>-68543000</v>
      </c>
      <c r="M179" s="37">
        <f t="shared" si="67"/>
        <v>-84121000</v>
      </c>
      <c r="N179" s="37">
        <f t="shared" si="68"/>
        <v>-18293000</v>
      </c>
    </row>
    <row r="180" spans="1:14" x14ac:dyDescent="0.25">
      <c r="A180" t="s">
        <v>415</v>
      </c>
      <c r="B180" s="26">
        <f t="shared" ref="B180:K180" si="70">B93</f>
        <v>63098000</v>
      </c>
      <c r="C180" s="26">
        <f t="shared" si="70"/>
        <v>110390000</v>
      </c>
      <c r="D180" s="26">
        <f t="shared" si="70"/>
        <v>124838000</v>
      </c>
      <c r="E180" s="26">
        <f t="shared" si="70"/>
        <v>39109000</v>
      </c>
      <c r="F180" s="26">
        <f t="shared" si="70"/>
        <v>9150000</v>
      </c>
      <c r="G180" s="26">
        <f t="shared" si="70"/>
        <v>-352353000</v>
      </c>
      <c r="H180" s="26">
        <f t="shared" si="70"/>
        <v>-18877000</v>
      </c>
      <c r="I180" s="26">
        <f t="shared" si="70"/>
        <v>-129700000</v>
      </c>
      <c r="J180" s="26">
        <f t="shared" si="70"/>
        <v>51502000</v>
      </c>
      <c r="K180" s="26">
        <f t="shared" si="70"/>
        <v>214787000</v>
      </c>
      <c r="M180" s="37">
        <f t="shared" si="67"/>
        <v>-352353000</v>
      </c>
      <c r="N180" s="37">
        <f t="shared" si="68"/>
        <v>214787000</v>
      </c>
    </row>
    <row r="182" spans="1:14" x14ac:dyDescent="0.25">
      <c r="M182" s="37">
        <f>SMALL(M177:M180, 1)</f>
        <v>-352353000</v>
      </c>
      <c r="N182" s="37">
        <f>LARGE(N177:N180, 1)</f>
        <v>592730000</v>
      </c>
    </row>
    <row r="184" spans="1:14" x14ac:dyDescent="0.25">
      <c r="M184" t="s">
        <v>483</v>
      </c>
    </row>
    <row r="199" spans="1:14" x14ac:dyDescent="0.25">
      <c r="B199" s="54" t="s">
        <v>518</v>
      </c>
      <c r="C199" s="54"/>
      <c r="D199" s="54"/>
      <c r="E199" s="54"/>
      <c r="F199" s="54"/>
      <c r="G199" s="54"/>
      <c r="H199" s="54"/>
      <c r="I199" s="54"/>
      <c r="J199" s="54"/>
      <c r="K199" s="54"/>
    </row>
    <row r="200" spans="1:14" x14ac:dyDescent="0.25">
      <c r="B200" s="21" t="s">
        <v>506</v>
      </c>
      <c r="C200" s="21" t="s">
        <v>510</v>
      </c>
      <c r="D200" s="21" t="s">
        <v>511</v>
      </c>
      <c r="E200" s="21" t="s">
        <v>512</v>
      </c>
      <c r="F200" s="47" t="s">
        <v>507</v>
      </c>
      <c r="G200" s="21" t="s">
        <v>513</v>
      </c>
      <c r="H200" s="21" t="s">
        <v>514</v>
      </c>
      <c r="I200" s="21" t="s">
        <v>515</v>
      </c>
      <c r="J200" s="21" t="s">
        <v>508</v>
      </c>
      <c r="K200" s="21" t="s">
        <v>509</v>
      </c>
      <c r="M200" s="21" t="s">
        <v>464</v>
      </c>
      <c r="N200" s="21" t="s">
        <v>465</v>
      </c>
    </row>
    <row r="201" spans="1:14" x14ac:dyDescent="0.25">
      <c r="A201" t="s">
        <v>485</v>
      </c>
      <c r="B201" s="44">
        <f>B71</f>
        <v>2468119000</v>
      </c>
      <c r="C201" s="46">
        <f t="shared" ref="C201:K201" si="71">C71</f>
        <v>2667331000</v>
      </c>
      <c r="D201" s="44">
        <f t="shared" si="71"/>
        <v>2542311000</v>
      </c>
      <c r="E201" s="44">
        <f t="shared" si="71"/>
        <v>2338634000</v>
      </c>
      <c r="F201" s="44">
        <f t="shared" si="71"/>
        <v>2224560000</v>
      </c>
      <c r="G201" s="44">
        <f t="shared" si="71"/>
        <v>1171844000</v>
      </c>
      <c r="H201" s="44">
        <f t="shared" si="71"/>
        <v>2514756000</v>
      </c>
      <c r="I201" s="44">
        <f t="shared" si="71"/>
        <v>2849408000</v>
      </c>
      <c r="J201" s="44">
        <f t="shared" si="71"/>
        <v>3133096000</v>
      </c>
      <c r="K201" s="44">
        <f t="shared" si="71"/>
        <v>3183883000</v>
      </c>
      <c r="M201" s="37">
        <f>SMALL(C201:K201,1)</f>
        <v>1171844000</v>
      </c>
      <c r="N201" s="37">
        <f>LARGE(C201:K201,1)</f>
        <v>3183883000</v>
      </c>
    </row>
    <row r="202" spans="1:14" x14ac:dyDescent="0.25">
      <c r="A202" t="s">
        <v>486</v>
      </c>
      <c r="B202" s="44">
        <v>0</v>
      </c>
      <c r="C202" s="44">
        <v>0</v>
      </c>
      <c r="D202" s="44">
        <v>2542311000</v>
      </c>
      <c r="E202" s="44">
        <v>2338634000</v>
      </c>
      <c r="F202" s="44">
        <v>2224560000</v>
      </c>
      <c r="G202" s="44">
        <v>1171844000</v>
      </c>
      <c r="H202" s="44">
        <v>2514756000</v>
      </c>
      <c r="I202" s="44">
        <v>2849408000</v>
      </c>
      <c r="J202" s="44">
        <v>3133096000</v>
      </c>
      <c r="K202" s="44">
        <v>3183882000</v>
      </c>
      <c r="M202" s="37">
        <f t="shared" ref="M202:M204" si="72">SMALL(C202:K202,1)</f>
        <v>0</v>
      </c>
      <c r="N202" s="37">
        <f t="shared" ref="N202:N204" si="73">LARGE(C202:K202,1)</f>
        <v>3183882000</v>
      </c>
    </row>
    <row r="203" spans="1:14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M203" s="37" t="e">
        <f t="shared" si="72"/>
        <v>#NUM!</v>
      </c>
      <c r="N203" s="37" t="e">
        <f t="shared" si="73"/>
        <v>#NUM!</v>
      </c>
    </row>
    <row r="204" spans="1:14" x14ac:dyDescent="0.25">
      <c r="A204" t="s">
        <v>487</v>
      </c>
      <c r="B204" s="44">
        <v>0</v>
      </c>
      <c r="C204" s="44">
        <v>0</v>
      </c>
      <c r="D204" s="44">
        <v>722718000</v>
      </c>
      <c r="E204" s="44">
        <v>613627000</v>
      </c>
      <c r="F204" s="44">
        <v>514723000</v>
      </c>
      <c r="G204" s="44">
        <v>177598000</v>
      </c>
      <c r="H204" s="44">
        <v>581033000</v>
      </c>
      <c r="I204" s="44">
        <v>661712000</v>
      </c>
      <c r="J204" s="44">
        <v>784586000</v>
      </c>
      <c r="K204" s="44">
        <v>935543000</v>
      </c>
      <c r="M204" s="37">
        <f t="shared" si="72"/>
        <v>0</v>
      </c>
      <c r="N204" s="37">
        <f t="shared" si="73"/>
        <v>935543000</v>
      </c>
    </row>
    <row r="205" spans="1:14" x14ac:dyDescent="0.25">
      <c r="A205" t="s">
        <v>488</v>
      </c>
      <c r="B205" s="44">
        <f>SUM(B206:B211)</f>
        <v>0</v>
      </c>
      <c r="C205" s="44">
        <f t="shared" ref="C205:K205" si="74">SUM(C206:C211)</f>
        <v>0</v>
      </c>
      <c r="D205" s="44">
        <f t="shared" si="74"/>
        <v>722719000</v>
      </c>
      <c r="E205" s="44">
        <f t="shared" si="74"/>
        <v>613627000</v>
      </c>
      <c r="F205" s="44">
        <f t="shared" si="74"/>
        <v>514723000</v>
      </c>
      <c r="G205" s="44">
        <f t="shared" si="74"/>
        <v>177598000</v>
      </c>
      <c r="H205" s="44">
        <f t="shared" si="74"/>
        <v>581032000</v>
      </c>
      <c r="I205" s="44">
        <f t="shared" si="74"/>
        <v>661712000</v>
      </c>
      <c r="J205" s="44">
        <f t="shared" si="74"/>
        <v>784586000</v>
      </c>
      <c r="K205" s="44">
        <f t="shared" si="74"/>
        <v>935542000</v>
      </c>
    </row>
    <row r="206" spans="1:14" x14ac:dyDescent="0.25">
      <c r="A206" t="s">
        <v>489</v>
      </c>
      <c r="B206" s="44">
        <v>0</v>
      </c>
      <c r="C206" s="44">
        <v>0</v>
      </c>
      <c r="D206" s="44">
        <v>132202000</v>
      </c>
      <c r="E206" s="44">
        <v>98378000</v>
      </c>
      <c r="F206" s="44">
        <v>83411000</v>
      </c>
      <c r="G206" s="44">
        <v>16631000</v>
      </c>
      <c r="H206" s="44">
        <v>85530000</v>
      </c>
      <c r="I206" s="44">
        <v>108157000</v>
      </c>
      <c r="J206" s="44">
        <v>113754000</v>
      </c>
      <c r="K206" s="44">
        <v>127556000</v>
      </c>
      <c r="M206" s="37" t="e">
        <f>SMALL(M201:M204, 1)</f>
        <v>#NUM!</v>
      </c>
      <c r="N206" s="37" t="e">
        <f>LARGE(N201:N204, 1)</f>
        <v>#NUM!</v>
      </c>
    </row>
    <row r="207" spans="1:14" x14ac:dyDescent="0.25">
      <c r="A207" t="s">
        <v>490</v>
      </c>
      <c r="B207" s="44">
        <v>0</v>
      </c>
      <c r="C207" s="44">
        <v>0</v>
      </c>
      <c r="D207" s="44">
        <v>129235000</v>
      </c>
      <c r="E207" s="44">
        <v>99419000</v>
      </c>
      <c r="F207" s="44">
        <v>92179000</v>
      </c>
      <c r="G207" s="44">
        <v>19156000</v>
      </c>
      <c r="H207" s="44">
        <v>93941000</v>
      </c>
      <c r="I207" s="44">
        <v>93077000</v>
      </c>
      <c r="J207" s="44">
        <v>94939000</v>
      </c>
      <c r="K207" s="44">
        <v>112655000</v>
      </c>
    </row>
    <row r="208" spans="1:14" x14ac:dyDescent="0.25">
      <c r="A208" t="s">
        <v>491</v>
      </c>
      <c r="B208" s="44">
        <v>0</v>
      </c>
      <c r="C208" s="44">
        <v>0</v>
      </c>
      <c r="D208" s="44">
        <v>181889000</v>
      </c>
      <c r="E208" s="44">
        <v>140411000</v>
      </c>
      <c r="F208" s="44">
        <v>126965000</v>
      </c>
      <c r="G208" s="44">
        <v>75194000</v>
      </c>
      <c r="H208" s="44">
        <v>168498000</v>
      </c>
      <c r="I208" s="44">
        <v>183866000</v>
      </c>
      <c r="J208" s="44">
        <v>242798000</v>
      </c>
      <c r="K208" s="44">
        <v>275929000</v>
      </c>
    </row>
    <row r="209" spans="1:11" x14ac:dyDescent="0.25">
      <c r="A209" t="s">
        <v>492</v>
      </c>
      <c r="B209" s="44">
        <v>0</v>
      </c>
      <c r="C209" s="44">
        <v>0</v>
      </c>
      <c r="D209" s="44">
        <v>47729000</v>
      </c>
      <c r="E209" s="44">
        <v>51413000</v>
      </c>
      <c r="F209" s="44">
        <v>39538000</v>
      </c>
      <c r="G209" s="44">
        <v>14438000</v>
      </c>
      <c r="H209" s="44">
        <v>54944000</v>
      </c>
      <c r="I209" s="44">
        <v>58060000</v>
      </c>
      <c r="J209" s="44">
        <v>64792000</v>
      </c>
      <c r="K209" s="44">
        <v>90402000</v>
      </c>
    </row>
    <row r="210" spans="1:11" x14ac:dyDescent="0.25">
      <c r="A210" t="s">
        <v>493</v>
      </c>
      <c r="B210" s="44">
        <v>0</v>
      </c>
      <c r="C210" s="44">
        <v>0</v>
      </c>
      <c r="D210" s="44">
        <v>231664000</v>
      </c>
      <c r="E210" s="44">
        <v>224006000</v>
      </c>
      <c r="F210" s="44">
        <v>172630000</v>
      </c>
      <c r="G210" s="44">
        <v>52179000</v>
      </c>
      <c r="H210" s="44">
        <v>178119000</v>
      </c>
      <c r="I210" s="44">
        <v>218552000</v>
      </c>
      <c r="J210" s="44">
        <v>268303000</v>
      </c>
      <c r="K210" s="44">
        <v>329000000</v>
      </c>
    </row>
    <row r="211" spans="1:11" x14ac:dyDescent="0.25">
      <c r="A211" t="s">
        <v>505</v>
      </c>
      <c r="B211" s="44">
        <v>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</row>
    <row r="213" spans="1:11" x14ac:dyDescent="0.25">
      <c r="A213" t="s">
        <v>494</v>
      </c>
      <c r="B213" s="44">
        <v>0</v>
      </c>
      <c r="C213" s="44">
        <v>0</v>
      </c>
      <c r="D213" s="44">
        <v>802267000</v>
      </c>
      <c r="E213" s="44">
        <v>637732000</v>
      </c>
      <c r="F213" s="44">
        <v>667862000</v>
      </c>
      <c r="G213" s="44">
        <v>344131000</v>
      </c>
      <c r="H213" s="44">
        <v>797416000</v>
      </c>
      <c r="I213" s="44">
        <v>792611000</v>
      </c>
      <c r="J213" s="44">
        <v>869444000</v>
      </c>
      <c r="K213" s="44">
        <v>844384000</v>
      </c>
    </row>
    <row r="214" spans="1:11" x14ac:dyDescent="0.25">
      <c r="A214" t="s">
        <v>495</v>
      </c>
      <c r="B214" s="44">
        <f>SUM(B215:B220)</f>
        <v>0</v>
      </c>
      <c r="C214" s="44">
        <f t="shared" ref="C214:K214" si="75">SUM(C215:C220)</f>
        <v>0</v>
      </c>
      <c r="D214" s="44">
        <f t="shared" si="75"/>
        <v>802267000</v>
      </c>
      <c r="E214" s="44">
        <f t="shared" si="75"/>
        <v>637732000</v>
      </c>
      <c r="F214" s="44">
        <f t="shared" si="75"/>
        <v>667862000</v>
      </c>
      <c r="G214" s="44">
        <f t="shared" si="75"/>
        <v>344131000</v>
      </c>
      <c r="H214" s="44">
        <f t="shared" si="75"/>
        <v>797416000</v>
      </c>
      <c r="I214" s="44">
        <f t="shared" si="75"/>
        <v>792612000</v>
      </c>
      <c r="J214" s="44">
        <f t="shared" si="75"/>
        <v>869444000</v>
      </c>
      <c r="K214" s="44">
        <f t="shared" si="75"/>
        <v>844383000</v>
      </c>
    </row>
    <row r="215" spans="1:11" x14ac:dyDescent="0.25">
      <c r="A215" t="s">
        <v>489</v>
      </c>
      <c r="B215" s="44">
        <v>0</v>
      </c>
      <c r="C215" s="44">
        <v>0</v>
      </c>
      <c r="D215" s="44">
        <v>109273000</v>
      </c>
      <c r="E215" s="44">
        <v>96134000</v>
      </c>
      <c r="F215" s="44">
        <v>101483000</v>
      </c>
      <c r="G215" s="44">
        <v>41141000</v>
      </c>
      <c r="H215" s="44">
        <v>117717000</v>
      </c>
      <c r="I215" s="44">
        <v>120971000</v>
      </c>
      <c r="J215" s="44">
        <v>129984000</v>
      </c>
      <c r="K215" s="44">
        <v>103211000</v>
      </c>
    </row>
    <row r="216" spans="1:11" x14ac:dyDescent="0.25">
      <c r="A216" t="s">
        <v>490</v>
      </c>
      <c r="B216" s="44">
        <v>0</v>
      </c>
      <c r="C216" s="44">
        <v>0</v>
      </c>
      <c r="D216" s="44">
        <v>289028000</v>
      </c>
      <c r="E216" s="44">
        <v>250178000</v>
      </c>
      <c r="F216" s="44">
        <v>254897000</v>
      </c>
      <c r="G216" s="44">
        <v>100028000</v>
      </c>
      <c r="H216" s="44">
        <v>340541000</v>
      </c>
      <c r="I216" s="44">
        <v>346121000</v>
      </c>
      <c r="J216" s="44">
        <v>369419000</v>
      </c>
      <c r="K216" s="44">
        <v>305202000</v>
      </c>
    </row>
    <row r="217" spans="1:11" x14ac:dyDescent="0.25">
      <c r="A217" t="s">
        <v>491</v>
      </c>
      <c r="B217" s="44">
        <v>0</v>
      </c>
      <c r="C217" s="44">
        <v>0</v>
      </c>
      <c r="D217" s="44">
        <v>104080000</v>
      </c>
      <c r="E217" s="44">
        <v>78235000</v>
      </c>
      <c r="F217" s="44">
        <v>78321000</v>
      </c>
      <c r="G217" s="44">
        <v>64524000</v>
      </c>
      <c r="H217" s="44">
        <v>86865000</v>
      </c>
      <c r="I217" s="44">
        <v>79961000</v>
      </c>
      <c r="J217" s="44">
        <v>91488000</v>
      </c>
      <c r="K217" s="44">
        <v>98214000</v>
      </c>
    </row>
    <row r="218" spans="1:11" x14ac:dyDescent="0.25">
      <c r="A218" t="s">
        <v>492</v>
      </c>
      <c r="B218" s="44">
        <v>0</v>
      </c>
      <c r="C218" s="44">
        <v>0</v>
      </c>
      <c r="D218" s="44"/>
      <c r="E218" s="44"/>
      <c r="F218" s="44"/>
      <c r="G218" s="44">
        <v>0</v>
      </c>
      <c r="H218" s="44"/>
      <c r="I218" s="44"/>
      <c r="J218" s="44"/>
      <c r="K218" s="44">
        <v>0</v>
      </c>
    </row>
    <row r="219" spans="1:11" x14ac:dyDescent="0.25">
      <c r="A219" t="s">
        <v>493</v>
      </c>
      <c r="B219" s="44">
        <v>0</v>
      </c>
      <c r="C219" s="44">
        <v>0</v>
      </c>
      <c r="D219" s="44">
        <v>299886000</v>
      </c>
      <c r="E219" s="44">
        <v>213185000</v>
      </c>
      <c r="F219" s="44">
        <v>233161000</v>
      </c>
      <c r="G219" s="44">
        <v>138438000</v>
      </c>
      <c r="H219" s="44">
        <v>252293000</v>
      </c>
      <c r="I219" s="44">
        <v>245559000</v>
      </c>
      <c r="J219" s="44">
        <v>278553000</v>
      </c>
      <c r="K219" s="44">
        <v>337756000</v>
      </c>
    </row>
    <row r="220" spans="1:11" x14ac:dyDescent="0.25">
      <c r="A220" t="s">
        <v>505</v>
      </c>
      <c r="B220" s="44">
        <v>0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</row>
    <row r="222" spans="1:11" x14ac:dyDescent="0.25">
      <c r="A222" t="s">
        <v>496</v>
      </c>
      <c r="B222" s="44">
        <v>0</v>
      </c>
      <c r="C222" s="44">
        <v>0</v>
      </c>
      <c r="D222" s="44">
        <v>802874000</v>
      </c>
      <c r="E222" s="44">
        <v>860848000</v>
      </c>
      <c r="F222" s="44">
        <v>851653000</v>
      </c>
      <c r="G222" s="44">
        <v>575998000</v>
      </c>
      <c r="H222" s="44">
        <v>921056000</v>
      </c>
      <c r="I222" s="44">
        <v>1092735000</v>
      </c>
      <c r="J222" s="44">
        <v>1121788000</v>
      </c>
      <c r="K222" s="44">
        <v>1071523000</v>
      </c>
    </row>
    <row r="223" spans="1:11" x14ac:dyDescent="0.25">
      <c r="A223" t="s">
        <v>497</v>
      </c>
      <c r="B223" s="44">
        <f>SUM(B224:B229)</f>
        <v>0</v>
      </c>
      <c r="C223" s="44">
        <f t="shared" ref="C223:K223" si="76">SUM(C224:C229)</f>
        <v>0</v>
      </c>
      <c r="D223" s="44">
        <f t="shared" si="76"/>
        <v>802874000</v>
      </c>
      <c r="E223" s="44">
        <f t="shared" si="76"/>
        <v>860848000</v>
      </c>
      <c r="F223" s="44">
        <f t="shared" si="76"/>
        <v>851653000</v>
      </c>
      <c r="G223" s="44">
        <f t="shared" si="76"/>
        <v>575998000</v>
      </c>
      <c r="H223" s="44">
        <f t="shared" si="76"/>
        <v>921057000</v>
      </c>
      <c r="I223" s="44">
        <f t="shared" si="76"/>
        <v>1092735000</v>
      </c>
      <c r="J223" s="44">
        <f t="shared" si="76"/>
        <v>1121788000</v>
      </c>
      <c r="K223" s="44">
        <f t="shared" si="76"/>
        <v>1071524000</v>
      </c>
    </row>
    <row r="224" spans="1:11" x14ac:dyDescent="0.25">
      <c r="A224" t="s">
        <v>489</v>
      </c>
      <c r="B224" s="44">
        <v>0</v>
      </c>
      <c r="C224" s="44">
        <v>0</v>
      </c>
      <c r="D224" s="44">
        <v>416772000</v>
      </c>
      <c r="E224" s="44">
        <v>462199000</v>
      </c>
      <c r="F224" s="44">
        <v>434455000</v>
      </c>
      <c r="G224" s="44">
        <v>249798000</v>
      </c>
      <c r="H224" s="44">
        <v>460201000</v>
      </c>
      <c r="I224" s="44">
        <v>534809000</v>
      </c>
      <c r="J224" s="44">
        <v>533487000</v>
      </c>
      <c r="K224" s="44">
        <v>516146000</v>
      </c>
    </row>
    <row r="225" spans="1:11" x14ac:dyDescent="0.25">
      <c r="A225" t="s">
        <v>490</v>
      </c>
      <c r="B225" s="44">
        <v>0</v>
      </c>
      <c r="C225" s="44">
        <v>0</v>
      </c>
      <c r="D225" s="44">
        <v>225416000</v>
      </c>
      <c r="E225" s="44">
        <v>236501000</v>
      </c>
      <c r="F225" s="44">
        <v>229434000</v>
      </c>
      <c r="G225" s="44">
        <v>186328000</v>
      </c>
      <c r="H225" s="44">
        <v>256662000</v>
      </c>
      <c r="I225" s="44">
        <v>313960000</v>
      </c>
      <c r="J225" s="44">
        <v>288002000</v>
      </c>
      <c r="K225" s="44">
        <v>263465000</v>
      </c>
    </row>
    <row r="226" spans="1:11" x14ac:dyDescent="0.25">
      <c r="A226" t="s">
        <v>491</v>
      </c>
      <c r="B226" s="44">
        <v>0</v>
      </c>
      <c r="C226" s="44">
        <v>0</v>
      </c>
      <c r="D226" s="44">
        <v>160686000</v>
      </c>
      <c r="E226" s="44">
        <v>162148000</v>
      </c>
      <c r="F226" s="44">
        <v>187764000</v>
      </c>
      <c r="G226" s="44">
        <v>139872000</v>
      </c>
      <c r="H226" s="44">
        <v>204194000</v>
      </c>
      <c r="I226" s="44">
        <v>243966000</v>
      </c>
      <c r="J226" s="44">
        <v>300299000</v>
      </c>
      <c r="K226" s="44">
        <v>291913000</v>
      </c>
    </row>
    <row r="227" spans="1:11" x14ac:dyDescent="0.25">
      <c r="A227" t="s">
        <v>492</v>
      </c>
      <c r="B227" s="44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</row>
    <row r="228" spans="1:11" x14ac:dyDescent="0.25">
      <c r="A228" t="s">
        <v>493</v>
      </c>
      <c r="B228" s="44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</row>
    <row r="229" spans="1:11" x14ac:dyDescent="0.25">
      <c r="A229" t="s">
        <v>505</v>
      </c>
      <c r="B229" s="44">
        <v>0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</row>
    <row r="231" spans="1:11" x14ac:dyDescent="0.25">
      <c r="A231" t="s">
        <v>498</v>
      </c>
      <c r="B231" s="44">
        <v>0</v>
      </c>
      <c r="C231" s="44">
        <v>0</v>
      </c>
      <c r="D231" s="44">
        <v>214452000</v>
      </c>
      <c r="E231" s="44">
        <v>226427000</v>
      </c>
      <c r="F231" s="44">
        <v>190322000</v>
      </c>
      <c r="G231" s="44">
        <v>74118000</v>
      </c>
      <c r="H231" s="44">
        <v>215250000</v>
      </c>
      <c r="I231" s="44">
        <v>302349000</v>
      </c>
      <c r="J231" s="44">
        <v>357278000</v>
      </c>
      <c r="K231" s="44">
        <v>332433000</v>
      </c>
    </row>
    <row r="232" spans="1:11" x14ac:dyDescent="0.25">
      <c r="A232" t="s">
        <v>499</v>
      </c>
      <c r="B232" s="44">
        <f>SUM(B233:B238)</f>
        <v>0</v>
      </c>
      <c r="C232" s="44">
        <f t="shared" ref="C232:K232" si="77">SUM(C233:C238)</f>
        <v>0</v>
      </c>
      <c r="D232" s="44">
        <f t="shared" si="77"/>
        <v>214451000</v>
      </c>
      <c r="E232" s="44">
        <f t="shared" si="77"/>
        <v>226427000</v>
      </c>
      <c r="F232" s="44">
        <f t="shared" si="77"/>
        <v>190322000</v>
      </c>
      <c r="G232" s="44">
        <f t="shared" si="77"/>
        <v>74119000</v>
      </c>
      <c r="H232" s="44">
        <f t="shared" si="77"/>
        <v>215251000</v>
      </c>
      <c r="I232" s="44">
        <f t="shared" si="77"/>
        <v>302349000</v>
      </c>
      <c r="J232" s="44">
        <f t="shared" si="77"/>
        <v>357278000</v>
      </c>
      <c r="K232" s="44">
        <f t="shared" si="77"/>
        <v>332432000</v>
      </c>
    </row>
    <row r="233" spans="1:11" x14ac:dyDescent="0.25">
      <c r="A233" t="s">
        <v>489</v>
      </c>
      <c r="B233" s="44">
        <v>0</v>
      </c>
      <c r="C233" s="44">
        <v>0</v>
      </c>
      <c r="D233" s="44">
        <v>153705000</v>
      </c>
      <c r="E233" s="44">
        <v>146433000</v>
      </c>
      <c r="F233" s="44">
        <v>132802000</v>
      </c>
      <c r="G233" s="44">
        <v>44415000</v>
      </c>
      <c r="H233" s="44">
        <v>139345000</v>
      </c>
      <c r="I233" s="44">
        <v>192926000</v>
      </c>
      <c r="J233" s="44">
        <v>206261000</v>
      </c>
      <c r="K233" s="44">
        <v>211790000</v>
      </c>
    </row>
    <row r="234" spans="1:11" x14ac:dyDescent="0.25">
      <c r="A234" t="s">
        <v>490</v>
      </c>
      <c r="B234" s="44">
        <v>0</v>
      </c>
      <c r="C234" s="44">
        <v>0</v>
      </c>
      <c r="D234" s="44">
        <v>17595000</v>
      </c>
      <c r="E234" s="44">
        <v>22602000</v>
      </c>
      <c r="F234" s="44">
        <v>21294000</v>
      </c>
      <c r="G234" s="44">
        <v>4895000</v>
      </c>
      <c r="H234" s="44">
        <v>29993000</v>
      </c>
      <c r="I234" s="44">
        <v>43561000</v>
      </c>
      <c r="J234" s="44">
        <v>50823000</v>
      </c>
      <c r="K234" s="44">
        <v>36682000</v>
      </c>
    </row>
    <row r="235" spans="1:11" x14ac:dyDescent="0.25">
      <c r="A235" t="s">
        <v>491</v>
      </c>
      <c r="B235" s="44">
        <v>0</v>
      </c>
      <c r="C235" s="44">
        <v>0</v>
      </c>
      <c r="D235" s="44">
        <v>43151000</v>
      </c>
      <c r="E235" s="44">
        <v>57392000</v>
      </c>
      <c r="F235" s="44">
        <v>36226000</v>
      </c>
      <c r="G235" s="44">
        <v>24809000</v>
      </c>
      <c r="H235" s="44">
        <v>45913000</v>
      </c>
      <c r="I235" s="44">
        <v>65862000</v>
      </c>
      <c r="J235" s="44">
        <v>100194000</v>
      </c>
      <c r="K235" s="44">
        <v>83960000</v>
      </c>
    </row>
    <row r="236" spans="1:11" x14ac:dyDescent="0.25">
      <c r="A236" t="s">
        <v>492</v>
      </c>
      <c r="B236" s="44">
        <v>0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</row>
    <row r="237" spans="1:11" x14ac:dyDescent="0.25">
      <c r="A237" t="s">
        <v>493</v>
      </c>
      <c r="B237" s="44">
        <v>0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</row>
    <row r="238" spans="1:11" x14ac:dyDescent="0.25">
      <c r="A238" t="s">
        <v>505</v>
      </c>
      <c r="B238" s="44">
        <v>0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</row>
    <row r="240" spans="1:11" x14ac:dyDescent="0.25">
      <c r="A240" t="s">
        <v>500</v>
      </c>
      <c r="B240" s="44">
        <v>0</v>
      </c>
      <c r="C240" s="44">
        <v>0</v>
      </c>
      <c r="D240" s="44">
        <v>2542312000</v>
      </c>
      <c r="E240" s="44">
        <v>2338634000</v>
      </c>
      <c r="F240" s="44">
        <v>2224560000</v>
      </c>
      <c r="G240" s="44">
        <v>1171844000</v>
      </c>
      <c r="H240" s="44">
        <v>2514756000</v>
      </c>
      <c r="I240" s="44">
        <v>2849408000</v>
      </c>
      <c r="J240" s="44">
        <v>3133096000</v>
      </c>
      <c r="K240" s="44">
        <v>3183882000</v>
      </c>
    </row>
    <row r="241" spans="1:11" x14ac:dyDescent="0.25">
      <c r="A241" t="s">
        <v>501</v>
      </c>
      <c r="B241" s="44">
        <f>SUM(B242:B244)</f>
        <v>0</v>
      </c>
      <c r="C241" s="44">
        <f t="shared" ref="C241:K241" si="78">SUM(C242:C244)</f>
        <v>0</v>
      </c>
      <c r="D241" s="44">
        <f t="shared" si="78"/>
        <v>2542312000</v>
      </c>
      <c r="E241" s="44">
        <f t="shared" si="78"/>
        <v>2338633000</v>
      </c>
      <c r="F241" s="44">
        <f t="shared" si="78"/>
        <v>2224558000</v>
      </c>
      <c r="G241" s="44">
        <f t="shared" si="78"/>
        <v>1171844000</v>
      </c>
      <c r="H241" s="44">
        <f t="shared" si="78"/>
        <v>2514756000</v>
      </c>
      <c r="I241" s="44">
        <f t="shared" si="78"/>
        <v>2849407000</v>
      </c>
      <c r="J241" s="44">
        <f t="shared" si="78"/>
        <v>3133096000</v>
      </c>
      <c r="K241" s="44">
        <f t="shared" si="78"/>
        <v>3183882000</v>
      </c>
    </row>
    <row r="242" spans="1:11" x14ac:dyDescent="0.25">
      <c r="A242" t="s">
        <v>502</v>
      </c>
      <c r="B242" s="44">
        <v>0</v>
      </c>
      <c r="C242" s="44">
        <v>0</v>
      </c>
      <c r="D242" s="44">
        <v>1963034000</v>
      </c>
      <c r="E242" s="44">
        <v>1850029000</v>
      </c>
      <c r="F242" s="44">
        <v>1779229000</v>
      </c>
      <c r="G242" s="44">
        <v>966789000</v>
      </c>
      <c r="H242" s="44">
        <v>2029400000</v>
      </c>
      <c r="I242" s="44">
        <v>2327236000</v>
      </c>
      <c r="J242" s="44">
        <v>2521448000</v>
      </c>
      <c r="K242" s="44">
        <v>2426724000</v>
      </c>
    </row>
    <row r="243" spans="1:11" x14ac:dyDescent="0.25">
      <c r="A243" t="s">
        <v>503</v>
      </c>
      <c r="B243" s="44">
        <v>0</v>
      </c>
      <c r="C243" s="44">
        <v>0</v>
      </c>
      <c r="D243" s="44">
        <v>579278000</v>
      </c>
      <c r="E243" s="44">
        <v>488604000</v>
      </c>
      <c r="F243" s="44">
        <v>445329000</v>
      </c>
      <c r="G243" s="44">
        <v>205055000</v>
      </c>
      <c r="H243" s="44">
        <v>485356000</v>
      </c>
      <c r="I243" s="44">
        <v>522171000</v>
      </c>
      <c r="J243" s="44">
        <v>611648000</v>
      </c>
      <c r="K243" s="44">
        <v>757158000</v>
      </c>
    </row>
    <row r="244" spans="1:11" x14ac:dyDescent="0.25">
      <c r="A244" t="s">
        <v>504</v>
      </c>
      <c r="B244" s="44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</row>
    <row r="247" spans="1:11" x14ac:dyDescent="0.25">
      <c r="A247" t="s">
        <v>517</v>
      </c>
      <c r="B247" s="44">
        <f>B202</f>
        <v>0</v>
      </c>
      <c r="C247" s="44">
        <f t="shared" ref="C247:K247" si="79">C202</f>
        <v>0</v>
      </c>
      <c r="D247" s="44">
        <f t="shared" si="79"/>
        <v>2542311000</v>
      </c>
      <c r="E247" s="44">
        <f t="shared" si="79"/>
        <v>2338634000</v>
      </c>
      <c r="F247" s="44">
        <f t="shared" si="79"/>
        <v>2224560000</v>
      </c>
      <c r="G247" s="44">
        <f t="shared" si="79"/>
        <v>1171844000</v>
      </c>
      <c r="H247" s="44">
        <f t="shared" si="79"/>
        <v>2514756000</v>
      </c>
      <c r="I247" s="44">
        <f t="shared" si="79"/>
        <v>2849408000</v>
      </c>
      <c r="J247" s="44">
        <f t="shared" si="79"/>
        <v>3133096000</v>
      </c>
      <c r="K247" s="44">
        <f t="shared" si="79"/>
        <v>3183882000</v>
      </c>
    </row>
    <row r="248" spans="1:11" x14ac:dyDescent="0.25">
      <c r="A248" t="s">
        <v>516</v>
      </c>
      <c r="B248" s="44">
        <f>SUM(B249:B254)</f>
        <v>0</v>
      </c>
      <c r="C248" s="44">
        <f t="shared" ref="C248:K248" si="80">SUM(C249:C254)</f>
        <v>0</v>
      </c>
      <c r="D248" s="44">
        <f t="shared" si="80"/>
        <v>2542311000</v>
      </c>
      <c r="E248" s="44">
        <f t="shared" si="80"/>
        <v>2338634000</v>
      </c>
      <c r="F248" s="44">
        <f t="shared" si="80"/>
        <v>2224560000</v>
      </c>
      <c r="G248" s="44">
        <f t="shared" si="80"/>
        <v>1171846000</v>
      </c>
      <c r="H248" s="44">
        <f t="shared" si="80"/>
        <v>2514756000</v>
      </c>
      <c r="I248" s="44">
        <f t="shared" si="80"/>
        <v>2849408000</v>
      </c>
      <c r="J248" s="44">
        <f t="shared" si="80"/>
        <v>3133096000</v>
      </c>
      <c r="K248" s="44">
        <f t="shared" si="80"/>
        <v>3183881000</v>
      </c>
    </row>
    <row r="249" spans="1:11" x14ac:dyDescent="0.25">
      <c r="A249" t="s">
        <v>489</v>
      </c>
      <c r="B249" s="44">
        <f t="shared" ref="B249:B254" si="81">B206+B215+B224+B233</f>
        <v>0</v>
      </c>
      <c r="C249" s="44">
        <f t="shared" ref="C249:K254" si="82">C206+C215+C224+C233</f>
        <v>0</v>
      </c>
      <c r="D249" s="44">
        <f t="shared" si="82"/>
        <v>811952000</v>
      </c>
      <c r="E249" s="44">
        <f t="shared" si="82"/>
        <v>803144000</v>
      </c>
      <c r="F249" s="44">
        <f t="shared" si="82"/>
        <v>752151000</v>
      </c>
      <c r="G249" s="44">
        <f t="shared" si="82"/>
        <v>351985000</v>
      </c>
      <c r="H249" s="44">
        <f t="shared" si="82"/>
        <v>802793000</v>
      </c>
      <c r="I249" s="44">
        <f t="shared" si="82"/>
        <v>956863000</v>
      </c>
      <c r="J249" s="44">
        <f t="shared" si="82"/>
        <v>983486000</v>
      </c>
      <c r="K249" s="44">
        <f t="shared" si="82"/>
        <v>958703000</v>
      </c>
    </row>
    <row r="250" spans="1:11" x14ac:dyDescent="0.25">
      <c r="A250" t="s">
        <v>490</v>
      </c>
      <c r="B250" s="44">
        <f t="shared" si="81"/>
        <v>0</v>
      </c>
      <c r="C250" s="44">
        <f t="shared" si="82"/>
        <v>0</v>
      </c>
      <c r="D250" s="44">
        <f t="shared" si="82"/>
        <v>661274000</v>
      </c>
      <c r="E250" s="44">
        <f t="shared" si="82"/>
        <v>608700000</v>
      </c>
      <c r="F250" s="44">
        <f t="shared" si="82"/>
        <v>597804000</v>
      </c>
      <c r="G250" s="44">
        <f t="shared" si="82"/>
        <v>310407000</v>
      </c>
      <c r="H250" s="44">
        <f t="shared" si="82"/>
        <v>721137000</v>
      </c>
      <c r="I250" s="44">
        <f t="shared" si="82"/>
        <v>796719000</v>
      </c>
      <c r="J250" s="44">
        <f t="shared" si="82"/>
        <v>803183000</v>
      </c>
      <c r="K250" s="44">
        <f t="shared" si="82"/>
        <v>718004000</v>
      </c>
    </row>
    <row r="251" spans="1:11" x14ac:dyDescent="0.25">
      <c r="A251" t="s">
        <v>491</v>
      </c>
      <c r="B251" s="44">
        <f t="shared" si="81"/>
        <v>0</v>
      </c>
      <c r="C251" s="44">
        <f t="shared" si="82"/>
        <v>0</v>
      </c>
      <c r="D251" s="44">
        <f t="shared" si="82"/>
        <v>489806000</v>
      </c>
      <c r="E251" s="44">
        <f t="shared" si="82"/>
        <v>438186000</v>
      </c>
      <c r="F251" s="44">
        <f t="shared" si="82"/>
        <v>429276000</v>
      </c>
      <c r="G251" s="44">
        <f t="shared" si="82"/>
        <v>304399000</v>
      </c>
      <c r="H251" s="44">
        <f t="shared" si="82"/>
        <v>505470000</v>
      </c>
      <c r="I251" s="44">
        <f t="shared" si="82"/>
        <v>573655000</v>
      </c>
      <c r="J251" s="44">
        <f t="shared" si="82"/>
        <v>734779000</v>
      </c>
      <c r="K251" s="44">
        <f t="shared" si="82"/>
        <v>750016000</v>
      </c>
    </row>
    <row r="252" spans="1:11" x14ac:dyDescent="0.25">
      <c r="A252" t="s">
        <v>492</v>
      </c>
      <c r="B252" s="44">
        <f t="shared" si="81"/>
        <v>0</v>
      </c>
      <c r="C252" s="44">
        <f t="shared" si="82"/>
        <v>0</v>
      </c>
      <c r="D252" s="44">
        <f t="shared" si="82"/>
        <v>47729000</v>
      </c>
      <c r="E252" s="44">
        <f t="shared" si="82"/>
        <v>51413000</v>
      </c>
      <c r="F252" s="44">
        <f t="shared" si="82"/>
        <v>39538000</v>
      </c>
      <c r="G252" s="44">
        <f t="shared" si="82"/>
        <v>14438000</v>
      </c>
      <c r="H252" s="44">
        <f t="shared" si="82"/>
        <v>54944000</v>
      </c>
      <c r="I252" s="44">
        <f t="shared" si="82"/>
        <v>58060000</v>
      </c>
      <c r="J252" s="44">
        <f t="shared" si="82"/>
        <v>64792000</v>
      </c>
      <c r="K252" s="44">
        <f t="shared" si="82"/>
        <v>90402000</v>
      </c>
    </row>
    <row r="253" spans="1:11" x14ac:dyDescent="0.25">
      <c r="A253" t="s">
        <v>493</v>
      </c>
      <c r="B253" s="44">
        <f t="shared" si="81"/>
        <v>0</v>
      </c>
      <c r="C253" s="44">
        <f t="shared" si="82"/>
        <v>0</v>
      </c>
      <c r="D253" s="44">
        <f t="shared" si="82"/>
        <v>531550000</v>
      </c>
      <c r="E253" s="44">
        <f t="shared" si="82"/>
        <v>437191000</v>
      </c>
      <c r="F253" s="44">
        <f t="shared" si="82"/>
        <v>405791000</v>
      </c>
      <c r="G253" s="44">
        <f t="shared" si="82"/>
        <v>190617000</v>
      </c>
      <c r="H253" s="44">
        <f t="shared" si="82"/>
        <v>430412000</v>
      </c>
      <c r="I253" s="44">
        <f t="shared" si="82"/>
        <v>464111000</v>
      </c>
      <c r="J253" s="44">
        <f t="shared" si="82"/>
        <v>546856000</v>
      </c>
      <c r="K253" s="44">
        <f t="shared" si="82"/>
        <v>666756000</v>
      </c>
    </row>
    <row r="254" spans="1:11" x14ac:dyDescent="0.25">
      <c r="A254" t="s">
        <v>505</v>
      </c>
      <c r="B254" s="44">
        <f t="shared" si="81"/>
        <v>0</v>
      </c>
      <c r="C254" s="44">
        <f t="shared" si="82"/>
        <v>0</v>
      </c>
      <c r="D254" s="44">
        <f t="shared" si="82"/>
        <v>0</v>
      </c>
      <c r="E254" s="44">
        <f t="shared" si="82"/>
        <v>0</v>
      </c>
      <c r="F254" s="44">
        <f t="shared" si="82"/>
        <v>0</v>
      </c>
      <c r="G254" s="44">
        <f t="shared" si="82"/>
        <v>0</v>
      </c>
      <c r="H254" s="44">
        <f t="shared" si="82"/>
        <v>0</v>
      </c>
      <c r="I254" s="44">
        <f t="shared" si="82"/>
        <v>0</v>
      </c>
      <c r="J254" s="44">
        <f t="shared" si="82"/>
        <v>0</v>
      </c>
      <c r="K254" s="44">
        <f t="shared" si="82"/>
        <v>0</v>
      </c>
    </row>
    <row r="259" spans="1:11" x14ac:dyDescent="0.25">
      <c r="B259" s="54" t="s">
        <v>519</v>
      </c>
      <c r="C259" s="54"/>
      <c r="D259" s="54"/>
      <c r="E259" s="54"/>
      <c r="F259" s="54"/>
      <c r="G259" s="54"/>
      <c r="H259" s="54"/>
      <c r="I259" s="54"/>
      <c r="J259" s="54"/>
      <c r="K259" s="54"/>
    </row>
    <row r="260" spans="1:11" x14ac:dyDescent="0.25">
      <c r="B260" s="21" t="s">
        <v>506</v>
      </c>
      <c r="C260" s="21" t="s">
        <v>510</v>
      </c>
      <c r="D260" s="21" t="s">
        <v>511</v>
      </c>
      <c r="E260" s="21" t="s">
        <v>512</v>
      </c>
      <c r="F260" s="47" t="s">
        <v>507</v>
      </c>
      <c r="G260" s="21" t="s">
        <v>513</v>
      </c>
      <c r="H260" s="21" t="s">
        <v>514</v>
      </c>
      <c r="I260" s="21" t="s">
        <v>515</v>
      </c>
      <c r="J260" s="21" t="s">
        <v>508</v>
      </c>
      <c r="K260" s="21" t="s">
        <v>509</v>
      </c>
    </row>
    <row r="261" spans="1:11" x14ac:dyDescent="0.25">
      <c r="A261" t="s">
        <v>485</v>
      </c>
      <c r="B261" s="44"/>
      <c r="C261" s="46"/>
      <c r="D261" s="44"/>
      <c r="E261" s="44"/>
      <c r="F261" s="44"/>
      <c r="G261" s="44">
        <f t="shared" ref="G261:J261" si="83">SUM(D201:G201)</f>
        <v>8277349000</v>
      </c>
      <c r="H261" s="44">
        <f t="shared" si="83"/>
        <v>8249794000</v>
      </c>
      <c r="I261" s="44">
        <f t="shared" si="83"/>
        <v>8760568000</v>
      </c>
      <c r="J261" s="44">
        <f t="shared" si="83"/>
        <v>9669104000</v>
      </c>
      <c r="K261" s="44">
        <f>SUM(H201:K201)</f>
        <v>11681143000</v>
      </c>
    </row>
    <row r="262" spans="1:11" x14ac:dyDescent="0.25">
      <c r="A262" t="s">
        <v>486</v>
      </c>
      <c r="B262" s="44"/>
      <c r="C262" s="44"/>
      <c r="D262" s="44"/>
      <c r="E262" s="44"/>
      <c r="F262" s="44"/>
      <c r="G262" s="44">
        <f t="shared" ref="G262:J262" si="84">SUM(D202:G202)</f>
        <v>8277349000</v>
      </c>
      <c r="H262" s="44">
        <f t="shared" si="84"/>
        <v>8249794000</v>
      </c>
      <c r="I262" s="44">
        <f t="shared" si="84"/>
        <v>8760568000</v>
      </c>
      <c r="J262" s="44">
        <f t="shared" si="84"/>
        <v>9669104000</v>
      </c>
      <c r="K262" s="44">
        <f>SUM(H202:K202)</f>
        <v>11681142000</v>
      </c>
    </row>
    <row r="263" spans="1:1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x14ac:dyDescent="0.25">
      <c r="A264" t="s">
        <v>487</v>
      </c>
      <c r="B264" s="44"/>
      <c r="C264" s="44"/>
      <c r="D264" s="44"/>
      <c r="E264" s="44"/>
      <c r="F264" s="44"/>
      <c r="G264" s="44">
        <f t="shared" ref="G264:J271" si="85">SUM(D204:G204)</f>
        <v>2028666000</v>
      </c>
      <c r="H264" s="44">
        <f t="shared" si="85"/>
        <v>1886981000</v>
      </c>
      <c r="I264" s="44">
        <f t="shared" si="85"/>
        <v>1935066000</v>
      </c>
      <c r="J264" s="44">
        <f t="shared" si="85"/>
        <v>2204929000</v>
      </c>
      <c r="K264" s="44">
        <f>SUM(H204:K204)</f>
        <v>2962874000</v>
      </c>
    </row>
    <row r="265" spans="1:11" x14ac:dyDescent="0.25">
      <c r="A265" t="s">
        <v>488</v>
      </c>
      <c r="B265" s="44"/>
      <c r="C265" s="44"/>
      <c r="D265" s="44"/>
      <c r="E265" s="44"/>
      <c r="F265" s="44"/>
      <c r="G265" s="44">
        <f t="shared" si="85"/>
        <v>2028667000</v>
      </c>
      <c r="H265" s="44">
        <f t="shared" si="85"/>
        <v>1886980000</v>
      </c>
      <c r="I265" s="44">
        <f t="shared" si="85"/>
        <v>1935065000</v>
      </c>
      <c r="J265" s="44">
        <f t="shared" si="85"/>
        <v>2204928000</v>
      </c>
      <c r="K265" s="44">
        <f t="shared" ref="K265:K271" si="86">SUM(H205:K205)</f>
        <v>2962872000</v>
      </c>
    </row>
    <row r="266" spans="1:11" x14ac:dyDescent="0.25">
      <c r="A266" t="s">
        <v>489</v>
      </c>
      <c r="B266" s="44"/>
      <c r="C266" s="44"/>
      <c r="D266" s="44"/>
      <c r="E266" s="44"/>
      <c r="F266" s="44"/>
      <c r="G266" s="44">
        <f t="shared" si="85"/>
        <v>330622000</v>
      </c>
      <c r="H266" s="44">
        <f t="shared" si="85"/>
        <v>283950000</v>
      </c>
      <c r="I266" s="44">
        <f t="shared" si="85"/>
        <v>293729000</v>
      </c>
      <c r="J266" s="44">
        <f t="shared" si="85"/>
        <v>324072000</v>
      </c>
      <c r="K266" s="44">
        <f t="shared" si="86"/>
        <v>434997000</v>
      </c>
    </row>
    <row r="267" spans="1:11" x14ac:dyDescent="0.25">
      <c r="A267" t="s">
        <v>490</v>
      </c>
      <c r="B267" s="44"/>
      <c r="C267" s="44"/>
      <c r="D267" s="44"/>
      <c r="E267" s="44"/>
      <c r="F267" s="44"/>
      <c r="G267" s="44">
        <f t="shared" si="85"/>
        <v>339989000</v>
      </c>
      <c r="H267" s="44">
        <f t="shared" si="85"/>
        <v>304695000</v>
      </c>
      <c r="I267" s="44">
        <f t="shared" si="85"/>
        <v>298353000</v>
      </c>
      <c r="J267" s="44">
        <f t="shared" si="85"/>
        <v>301113000</v>
      </c>
      <c r="K267" s="44">
        <f t="shared" si="86"/>
        <v>394612000</v>
      </c>
    </row>
    <row r="268" spans="1:11" x14ac:dyDescent="0.25">
      <c r="A268" t="s">
        <v>491</v>
      </c>
      <c r="B268" s="44"/>
      <c r="C268" s="44"/>
      <c r="D268" s="44"/>
      <c r="E268" s="44"/>
      <c r="F268" s="44"/>
      <c r="G268" s="44">
        <f t="shared" si="85"/>
        <v>524459000</v>
      </c>
      <c r="H268" s="44">
        <f t="shared" si="85"/>
        <v>511068000</v>
      </c>
      <c r="I268" s="44">
        <f t="shared" si="85"/>
        <v>554523000</v>
      </c>
      <c r="J268" s="44">
        <f t="shared" si="85"/>
        <v>670356000</v>
      </c>
      <c r="K268" s="44">
        <f t="shared" si="86"/>
        <v>871091000</v>
      </c>
    </row>
    <row r="269" spans="1:11" x14ac:dyDescent="0.25">
      <c r="A269" t="s">
        <v>492</v>
      </c>
      <c r="B269" s="44"/>
      <c r="C269" s="44"/>
      <c r="D269" s="44"/>
      <c r="E269" s="44"/>
      <c r="F269" s="44"/>
      <c r="G269" s="44">
        <f t="shared" si="85"/>
        <v>153118000</v>
      </c>
      <c r="H269" s="44">
        <f t="shared" si="85"/>
        <v>160333000</v>
      </c>
      <c r="I269" s="44">
        <f t="shared" si="85"/>
        <v>166980000</v>
      </c>
      <c r="J269" s="44">
        <f t="shared" si="85"/>
        <v>192234000</v>
      </c>
      <c r="K269" s="44">
        <f t="shared" si="86"/>
        <v>268198000</v>
      </c>
    </row>
    <row r="270" spans="1:11" x14ac:dyDescent="0.25">
      <c r="A270" t="s">
        <v>493</v>
      </c>
      <c r="B270" s="44"/>
      <c r="C270" s="44"/>
      <c r="D270" s="44"/>
      <c r="E270" s="44"/>
      <c r="F270" s="44"/>
      <c r="G270" s="44">
        <f t="shared" si="85"/>
        <v>680479000</v>
      </c>
      <c r="H270" s="44">
        <f t="shared" si="85"/>
        <v>626934000</v>
      </c>
      <c r="I270" s="44">
        <f t="shared" si="85"/>
        <v>621480000</v>
      </c>
      <c r="J270" s="44">
        <f t="shared" si="85"/>
        <v>717153000</v>
      </c>
      <c r="K270" s="44">
        <f t="shared" si="86"/>
        <v>993974000</v>
      </c>
    </row>
    <row r="271" spans="1:11" x14ac:dyDescent="0.25">
      <c r="A271" t="s">
        <v>505</v>
      </c>
      <c r="B271" s="44"/>
      <c r="C271" s="44"/>
      <c r="D271" s="44"/>
      <c r="E271" s="44"/>
      <c r="F271" s="44"/>
      <c r="G271" s="44">
        <f t="shared" si="85"/>
        <v>0</v>
      </c>
      <c r="H271" s="44">
        <f t="shared" si="85"/>
        <v>0</v>
      </c>
      <c r="I271" s="44">
        <f t="shared" si="85"/>
        <v>0</v>
      </c>
      <c r="J271" s="44">
        <f t="shared" si="85"/>
        <v>0</v>
      </c>
      <c r="K271" s="44">
        <f t="shared" si="86"/>
        <v>0</v>
      </c>
    </row>
    <row r="273" spans="1:11" x14ac:dyDescent="0.25">
      <c r="A273" t="s">
        <v>494</v>
      </c>
      <c r="B273" s="44"/>
      <c r="C273" s="44"/>
      <c r="D273" s="44"/>
      <c r="E273" s="44"/>
      <c r="F273" s="44"/>
      <c r="G273" s="44">
        <f t="shared" ref="G273:G280" si="87">SUM(D213:G213)</f>
        <v>2451992000</v>
      </c>
      <c r="H273" s="44">
        <f t="shared" ref="H273:H280" si="88">SUM(E213:H213)</f>
        <v>2447141000</v>
      </c>
      <c r="I273" s="44">
        <f t="shared" ref="I273:I280" si="89">SUM(F213:I213)</f>
        <v>2602020000</v>
      </c>
      <c r="J273" s="44">
        <f t="shared" ref="J273:J280" si="90">SUM(G213:J213)</f>
        <v>2803602000</v>
      </c>
      <c r="K273" s="44">
        <f t="shared" ref="K273:K304" si="91">SUM(H213:K213)</f>
        <v>3303855000</v>
      </c>
    </row>
    <row r="274" spans="1:11" x14ac:dyDescent="0.25">
      <c r="A274" t="s">
        <v>495</v>
      </c>
      <c r="B274" s="44"/>
      <c r="C274" s="44"/>
      <c r="D274" s="44"/>
      <c r="E274" s="44"/>
      <c r="F274" s="44"/>
      <c r="G274" s="44">
        <f t="shared" si="87"/>
        <v>2451992000</v>
      </c>
      <c r="H274" s="44">
        <f t="shared" si="88"/>
        <v>2447141000</v>
      </c>
      <c r="I274" s="44">
        <f t="shared" si="89"/>
        <v>2602021000</v>
      </c>
      <c r="J274" s="44">
        <f t="shared" si="90"/>
        <v>2803603000</v>
      </c>
      <c r="K274" s="44">
        <f t="shared" si="91"/>
        <v>3303855000</v>
      </c>
    </row>
    <row r="275" spans="1:11" x14ac:dyDescent="0.25">
      <c r="A275" t="s">
        <v>489</v>
      </c>
      <c r="B275" s="44"/>
      <c r="C275" s="44"/>
      <c r="D275" s="44"/>
      <c r="E275" s="44"/>
      <c r="F275" s="44"/>
      <c r="G275" s="44">
        <f t="shared" si="87"/>
        <v>348031000</v>
      </c>
      <c r="H275" s="44">
        <f t="shared" si="88"/>
        <v>356475000</v>
      </c>
      <c r="I275" s="44">
        <f t="shared" si="89"/>
        <v>381312000</v>
      </c>
      <c r="J275" s="44">
        <f t="shared" si="90"/>
        <v>409813000</v>
      </c>
      <c r="K275" s="44">
        <f t="shared" si="91"/>
        <v>471883000</v>
      </c>
    </row>
    <row r="276" spans="1:11" x14ac:dyDescent="0.25">
      <c r="A276" t="s">
        <v>490</v>
      </c>
      <c r="B276" s="44"/>
      <c r="C276" s="44"/>
      <c r="D276" s="44"/>
      <c r="E276" s="44"/>
      <c r="F276" s="44"/>
      <c r="G276" s="44">
        <f t="shared" si="87"/>
        <v>894131000</v>
      </c>
      <c r="H276" s="44">
        <f t="shared" si="88"/>
        <v>945644000</v>
      </c>
      <c r="I276" s="44">
        <f t="shared" si="89"/>
        <v>1041587000</v>
      </c>
      <c r="J276" s="44">
        <f t="shared" si="90"/>
        <v>1156109000</v>
      </c>
      <c r="K276" s="44">
        <f t="shared" si="91"/>
        <v>1361283000</v>
      </c>
    </row>
    <row r="277" spans="1:11" x14ac:dyDescent="0.25">
      <c r="A277" t="s">
        <v>491</v>
      </c>
      <c r="B277" s="44"/>
      <c r="C277" s="44"/>
      <c r="D277" s="44"/>
      <c r="E277" s="44"/>
      <c r="F277" s="44"/>
      <c r="G277" s="44">
        <f t="shared" si="87"/>
        <v>325160000</v>
      </c>
      <c r="H277" s="44">
        <f t="shared" si="88"/>
        <v>307945000</v>
      </c>
      <c r="I277" s="44">
        <f t="shared" si="89"/>
        <v>309671000</v>
      </c>
      <c r="J277" s="44">
        <f t="shared" si="90"/>
        <v>322838000</v>
      </c>
      <c r="K277" s="44">
        <f t="shared" si="91"/>
        <v>356528000</v>
      </c>
    </row>
    <row r="278" spans="1:11" x14ac:dyDescent="0.25">
      <c r="A278" t="s">
        <v>492</v>
      </c>
      <c r="B278" s="44"/>
      <c r="C278" s="44"/>
      <c r="D278" s="44"/>
      <c r="E278" s="44"/>
      <c r="F278" s="44"/>
      <c r="G278" s="44">
        <f t="shared" si="87"/>
        <v>0</v>
      </c>
      <c r="H278" s="44">
        <f t="shared" si="88"/>
        <v>0</v>
      </c>
      <c r="I278" s="44">
        <f t="shared" si="89"/>
        <v>0</v>
      </c>
      <c r="J278" s="44">
        <f t="shared" si="90"/>
        <v>0</v>
      </c>
      <c r="K278" s="44">
        <f t="shared" si="91"/>
        <v>0</v>
      </c>
    </row>
    <row r="279" spans="1:11" x14ac:dyDescent="0.25">
      <c r="A279" t="s">
        <v>493</v>
      </c>
      <c r="B279" s="44"/>
      <c r="C279" s="44"/>
      <c r="D279" s="44"/>
      <c r="E279" s="44"/>
      <c r="F279" s="44"/>
      <c r="G279" s="44">
        <f t="shared" si="87"/>
        <v>884670000</v>
      </c>
      <c r="H279" s="44">
        <f t="shared" si="88"/>
        <v>837077000</v>
      </c>
      <c r="I279" s="44">
        <f t="shared" si="89"/>
        <v>869451000</v>
      </c>
      <c r="J279" s="44">
        <f t="shared" si="90"/>
        <v>914843000</v>
      </c>
      <c r="K279" s="44">
        <f t="shared" si="91"/>
        <v>1114161000</v>
      </c>
    </row>
    <row r="280" spans="1:11" x14ac:dyDescent="0.25">
      <c r="A280" t="s">
        <v>505</v>
      </c>
      <c r="B280" s="44"/>
      <c r="C280" s="44"/>
      <c r="D280" s="44"/>
      <c r="E280" s="44"/>
      <c r="F280" s="44"/>
      <c r="G280" s="44">
        <f t="shared" si="87"/>
        <v>0</v>
      </c>
      <c r="H280" s="44">
        <f t="shared" si="88"/>
        <v>0</v>
      </c>
      <c r="I280" s="44">
        <f t="shared" si="89"/>
        <v>0</v>
      </c>
      <c r="J280" s="44">
        <f t="shared" si="90"/>
        <v>0</v>
      </c>
      <c r="K280" s="44">
        <f t="shared" si="91"/>
        <v>0</v>
      </c>
    </row>
    <row r="282" spans="1:11" x14ac:dyDescent="0.25">
      <c r="A282" t="s">
        <v>496</v>
      </c>
      <c r="B282" s="44"/>
      <c r="C282" s="44"/>
      <c r="D282" s="44"/>
      <c r="E282" s="44"/>
      <c r="F282" s="44"/>
      <c r="G282" s="44">
        <f t="shared" ref="G282:G289" si="92">SUM(D222:G222)</f>
        <v>3091373000</v>
      </c>
      <c r="H282" s="44">
        <f t="shared" ref="H282:H289" si="93">SUM(E222:H222)</f>
        <v>3209555000</v>
      </c>
      <c r="I282" s="44">
        <f t="shared" ref="I282:I289" si="94">SUM(F222:I222)</f>
        <v>3441442000</v>
      </c>
      <c r="J282" s="44">
        <f t="shared" ref="J282:J289" si="95">SUM(G222:J222)</f>
        <v>3711577000</v>
      </c>
      <c r="K282" s="44">
        <f t="shared" si="91"/>
        <v>4207102000</v>
      </c>
    </row>
    <row r="283" spans="1:11" x14ac:dyDescent="0.25">
      <c r="A283" t="s">
        <v>497</v>
      </c>
      <c r="B283" s="44"/>
      <c r="C283" s="44"/>
      <c r="D283" s="44"/>
      <c r="E283" s="44"/>
      <c r="F283" s="44"/>
      <c r="G283" s="44">
        <f t="shared" si="92"/>
        <v>3091373000</v>
      </c>
      <c r="H283" s="44">
        <f t="shared" si="93"/>
        <v>3209556000</v>
      </c>
      <c r="I283" s="44">
        <f t="shared" si="94"/>
        <v>3441443000</v>
      </c>
      <c r="J283" s="44">
        <f t="shared" si="95"/>
        <v>3711578000</v>
      </c>
      <c r="K283" s="44">
        <f t="shared" si="91"/>
        <v>4207104000</v>
      </c>
    </row>
    <row r="284" spans="1:11" x14ac:dyDescent="0.25">
      <c r="A284" t="s">
        <v>489</v>
      </c>
      <c r="B284" s="44"/>
      <c r="C284" s="44"/>
      <c r="D284" s="44"/>
      <c r="E284" s="44"/>
      <c r="F284" s="44"/>
      <c r="G284" s="44">
        <f t="shared" si="92"/>
        <v>1563224000</v>
      </c>
      <c r="H284" s="44">
        <f t="shared" si="93"/>
        <v>1606653000</v>
      </c>
      <c r="I284" s="44">
        <f t="shared" si="94"/>
        <v>1679263000</v>
      </c>
      <c r="J284" s="44">
        <f t="shared" si="95"/>
        <v>1778295000</v>
      </c>
      <c r="K284" s="44">
        <f t="shared" si="91"/>
        <v>2044643000</v>
      </c>
    </row>
    <row r="285" spans="1:11" x14ac:dyDescent="0.25">
      <c r="A285" t="s">
        <v>490</v>
      </c>
      <c r="B285" s="44"/>
      <c r="C285" s="44"/>
      <c r="D285" s="44"/>
      <c r="E285" s="44"/>
      <c r="F285" s="44"/>
      <c r="G285" s="44">
        <f t="shared" si="92"/>
        <v>877679000</v>
      </c>
      <c r="H285" s="44">
        <f t="shared" si="93"/>
        <v>908925000</v>
      </c>
      <c r="I285" s="44">
        <f t="shared" si="94"/>
        <v>986384000</v>
      </c>
      <c r="J285" s="44">
        <f t="shared" si="95"/>
        <v>1044952000</v>
      </c>
      <c r="K285" s="44">
        <f t="shared" si="91"/>
        <v>1122089000</v>
      </c>
    </row>
    <row r="286" spans="1:11" x14ac:dyDescent="0.25">
      <c r="A286" t="s">
        <v>491</v>
      </c>
      <c r="B286" s="44"/>
      <c r="C286" s="44"/>
      <c r="D286" s="44"/>
      <c r="E286" s="44"/>
      <c r="F286" s="44"/>
      <c r="G286" s="44">
        <f t="shared" si="92"/>
        <v>650470000</v>
      </c>
      <c r="H286" s="44">
        <f t="shared" si="93"/>
        <v>693978000</v>
      </c>
      <c r="I286" s="44">
        <f t="shared" si="94"/>
        <v>775796000</v>
      </c>
      <c r="J286" s="44">
        <f t="shared" si="95"/>
        <v>888331000</v>
      </c>
      <c r="K286" s="44">
        <f t="shared" si="91"/>
        <v>1040372000</v>
      </c>
    </row>
    <row r="287" spans="1:11" x14ac:dyDescent="0.25">
      <c r="A287" t="s">
        <v>492</v>
      </c>
      <c r="B287" s="44"/>
      <c r="C287" s="44"/>
      <c r="D287" s="44"/>
      <c r="E287" s="44"/>
      <c r="F287" s="44"/>
      <c r="G287" s="44">
        <f t="shared" si="92"/>
        <v>0</v>
      </c>
      <c r="H287" s="44">
        <f t="shared" si="93"/>
        <v>0</v>
      </c>
      <c r="I287" s="44">
        <f t="shared" si="94"/>
        <v>0</v>
      </c>
      <c r="J287" s="44">
        <f t="shared" si="95"/>
        <v>0</v>
      </c>
      <c r="K287" s="44">
        <f t="shared" si="91"/>
        <v>0</v>
      </c>
    </row>
    <row r="288" spans="1:11" x14ac:dyDescent="0.25">
      <c r="A288" t="s">
        <v>493</v>
      </c>
      <c r="B288" s="44"/>
      <c r="C288" s="44"/>
      <c r="D288" s="44"/>
      <c r="E288" s="44"/>
      <c r="F288" s="44"/>
      <c r="G288" s="44">
        <f t="shared" si="92"/>
        <v>0</v>
      </c>
      <c r="H288" s="44">
        <f t="shared" si="93"/>
        <v>0</v>
      </c>
      <c r="I288" s="44">
        <f t="shared" si="94"/>
        <v>0</v>
      </c>
      <c r="J288" s="44">
        <f t="shared" si="95"/>
        <v>0</v>
      </c>
      <c r="K288" s="44">
        <f t="shared" si="91"/>
        <v>0</v>
      </c>
    </row>
    <row r="289" spans="1:11" x14ac:dyDescent="0.25">
      <c r="A289" t="s">
        <v>505</v>
      </c>
      <c r="B289" s="44"/>
      <c r="C289" s="44"/>
      <c r="D289" s="44"/>
      <c r="E289" s="44"/>
      <c r="F289" s="44"/>
      <c r="G289" s="44">
        <f t="shared" si="92"/>
        <v>0</v>
      </c>
      <c r="H289" s="44">
        <f t="shared" si="93"/>
        <v>0</v>
      </c>
      <c r="I289" s="44">
        <f t="shared" si="94"/>
        <v>0</v>
      </c>
      <c r="J289" s="44">
        <f t="shared" si="95"/>
        <v>0</v>
      </c>
      <c r="K289" s="44">
        <f t="shared" si="91"/>
        <v>0</v>
      </c>
    </row>
    <row r="291" spans="1:11" x14ac:dyDescent="0.25">
      <c r="A291" t="s">
        <v>498</v>
      </c>
      <c r="B291" s="44"/>
      <c r="C291" s="44"/>
      <c r="D291" s="44"/>
      <c r="E291" s="44"/>
      <c r="F291" s="44"/>
      <c r="G291" s="44">
        <f t="shared" ref="G291:G298" si="96">SUM(D231:G231)</f>
        <v>705319000</v>
      </c>
      <c r="H291" s="44">
        <f t="shared" ref="H291:H298" si="97">SUM(E231:H231)</f>
        <v>706117000</v>
      </c>
      <c r="I291" s="44">
        <f t="shared" ref="I291:I298" si="98">SUM(F231:I231)</f>
        <v>782039000</v>
      </c>
      <c r="J291" s="44">
        <f t="shared" ref="J291:J298" si="99">SUM(G231:J231)</f>
        <v>948995000</v>
      </c>
      <c r="K291" s="44">
        <f t="shared" si="91"/>
        <v>1207310000</v>
      </c>
    </row>
    <row r="292" spans="1:11" x14ac:dyDescent="0.25">
      <c r="A292" t="s">
        <v>499</v>
      </c>
      <c r="B292" s="44"/>
      <c r="C292" s="44"/>
      <c r="D292" s="44"/>
      <c r="E292" s="44"/>
      <c r="F292" s="44"/>
      <c r="G292" s="44">
        <f t="shared" si="96"/>
        <v>705319000</v>
      </c>
      <c r="H292" s="44">
        <f t="shared" si="97"/>
        <v>706119000</v>
      </c>
      <c r="I292" s="44">
        <f t="shared" si="98"/>
        <v>782041000</v>
      </c>
      <c r="J292" s="44">
        <f t="shared" si="99"/>
        <v>948997000</v>
      </c>
      <c r="K292" s="44">
        <f t="shared" si="91"/>
        <v>1207310000</v>
      </c>
    </row>
    <row r="293" spans="1:11" x14ac:dyDescent="0.25">
      <c r="A293" t="s">
        <v>489</v>
      </c>
      <c r="B293" s="44"/>
      <c r="C293" s="44"/>
      <c r="D293" s="44"/>
      <c r="E293" s="44"/>
      <c r="F293" s="44"/>
      <c r="G293" s="44">
        <f t="shared" si="96"/>
        <v>477355000</v>
      </c>
      <c r="H293" s="44">
        <f t="shared" si="97"/>
        <v>462995000</v>
      </c>
      <c r="I293" s="44">
        <f t="shared" si="98"/>
        <v>509488000</v>
      </c>
      <c r="J293" s="44">
        <f t="shared" si="99"/>
        <v>582947000</v>
      </c>
      <c r="K293" s="44">
        <f t="shared" si="91"/>
        <v>750322000</v>
      </c>
    </row>
    <row r="294" spans="1:11" x14ac:dyDescent="0.25">
      <c r="A294" t="s">
        <v>490</v>
      </c>
      <c r="B294" s="44"/>
      <c r="C294" s="44"/>
      <c r="D294" s="44"/>
      <c r="E294" s="44"/>
      <c r="F294" s="44"/>
      <c r="G294" s="44">
        <f t="shared" si="96"/>
        <v>66386000</v>
      </c>
      <c r="H294" s="44">
        <f t="shared" si="97"/>
        <v>78784000</v>
      </c>
      <c r="I294" s="44">
        <f t="shared" si="98"/>
        <v>99743000</v>
      </c>
      <c r="J294" s="44">
        <f t="shared" si="99"/>
        <v>129272000</v>
      </c>
      <c r="K294" s="44">
        <f t="shared" si="91"/>
        <v>161059000</v>
      </c>
    </row>
    <row r="295" spans="1:11" x14ac:dyDescent="0.25">
      <c r="A295" t="s">
        <v>491</v>
      </c>
      <c r="B295" s="44"/>
      <c r="C295" s="44"/>
      <c r="D295" s="44"/>
      <c r="E295" s="44"/>
      <c r="F295" s="44"/>
      <c r="G295" s="44">
        <f t="shared" si="96"/>
        <v>161578000</v>
      </c>
      <c r="H295" s="44">
        <f t="shared" si="97"/>
        <v>164340000</v>
      </c>
      <c r="I295" s="44">
        <f t="shared" si="98"/>
        <v>172810000</v>
      </c>
      <c r="J295" s="44">
        <f t="shared" si="99"/>
        <v>236778000</v>
      </c>
      <c r="K295" s="44">
        <f t="shared" si="91"/>
        <v>295929000</v>
      </c>
    </row>
    <row r="296" spans="1:11" x14ac:dyDescent="0.25">
      <c r="A296" t="s">
        <v>492</v>
      </c>
      <c r="B296" s="44"/>
      <c r="C296" s="44"/>
      <c r="D296" s="44"/>
      <c r="E296" s="44"/>
      <c r="F296" s="44"/>
      <c r="G296" s="44">
        <f t="shared" si="96"/>
        <v>0</v>
      </c>
      <c r="H296" s="44">
        <f t="shared" si="97"/>
        <v>0</v>
      </c>
      <c r="I296" s="44">
        <f t="shared" si="98"/>
        <v>0</v>
      </c>
      <c r="J296" s="44">
        <f t="shared" si="99"/>
        <v>0</v>
      </c>
      <c r="K296" s="44">
        <f t="shared" si="91"/>
        <v>0</v>
      </c>
    </row>
    <row r="297" spans="1:11" x14ac:dyDescent="0.25">
      <c r="A297" t="s">
        <v>493</v>
      </c>
      <c r="B297" s="44"/>
      <c r="C297" s="44"/>
      <c r="D297" s="44"/>
      <c r="E297" s="44"/>
      <c r="F297" s="44"/>
      <c r="G297" s="44">
        <f t="shared" si="96"/>
        <v>0</v>
      </c>
      <c r="H297" s="44">
        <f t="shared" si="97"/>
        <v>0</v>
      </c>
      <c r="I297" s="44">
        <f t="shared" si="98"/>
        <v>0</v>
      </c>
      <c r="J297" s="44">
        <f t="shared" si="99"/>
        <v>0</v>
      </c>
      <c r="K297" s="44">
        <f t="shared" si="91"/>
        <v>0</v>
      </c>
    </row>
    <row r="298" spans="1:11" x14ac:dyDescent="0.25">
      <c r="A298" t="s">
        <v>505</v>
      </c>
      <c r="B298" s="44"/>
      <c r="C298" s="44"/>
      <c r="D298" s="44"/>
      <c r="E298" s="44"/>
      <c r="F298" s="44"/>
      <c r="G298" s="44">
        <f t="shared" si="96"/>
        <v>0</v>
      </c>
      <c r="H298" s="44">
        <f t="shared" si="97"/>
        <v>0</v>
      </c>
      <c r="I298" s="44">
        <f t="shared" si="98"/>
        <v>0</v>
      </c>
      <c r="J298" s="44">
        <f t="shared" si="99"/>
        <v>0</v>
      </c>
      <c r="K298" s="44">
        <f t="shared" si="91"/>
        <v>0</v>
      </c>
    </row>
    <row r="300" spans="1:11" x14ac:dyDescent="0.25">
      <c r="A300" t="s">
        <v>500</v>
      </c>
      <c r="B300" s="44"/>
      <c r="C300" s="44"/>
      <c r="D300" s="44"/>
      <c r="E300" s="44"/>
      <c r="F300" s="44"/>
      <c r="G300" s="44">
        <f t="shared" ref="G300:G304" si="100">SUM(D240:G240)</f>
        <v>8277350000</v>
      </c>
      <c r="H300" s="44">
        <f t="shared" ref="H300:H304" si="101">SUM(E240:H240)</f>
        <v>8249794000</v>
      </c>
      <c r="I300" s="44">
        <f t="shared" ref="I300:I304" si="102">SUM(F240:I240)</f>
        <v>8760568000</v>
      </c>
      <c r="J300" s="44">
        <f t="shared" ref="J300:J304" si="103">SUM(G240:J240)</f>
        <v>9669104000</v>
      </c>
      <c r="K300" s="44">
        <f t="shared" si="91"/>
        <v>11681142000</v>
      </c>
    </row>
    <row r="301" spans="1:11" x14ac:dyDescent="0.25">
      <c r="A301" t="s">
        <v>501</v>
      </c>
      <c r="B301" s="44"/>
      <c r="C301" s="44"/>
      <c r="D301" s="44"/>
      <c r="E301" s="44"/>
      <c r="F301" s="44"/>
      <c r="G301" s="44">
        <f t="shared" si="100"/>
        <v>8277347000</v>
      </c>
      <c r="H301" s="44">
        <f t="shared" si="101"/>
        <v>8249791000</v>
      </c>
      <c r="I301" s="44">
        <f t="shared" si="102"/>
        <v>8760565000</v>
      </c>
      <c r="J301" s="44">
        <f t="shared" si="103"/>
        <v>9669103000</v>
      </c>
      <c r="K301" s="44">
        <f t="shared" si="91"/>
        <v>11681141000</v>
      </c>
    </row>
    <row r="302" spans="1:11" x14ac:dyDescent="0.25">
      <c r="A302" t="s">
        <v>502</v>
      </c>
      <c r="B302" s="44"/>
      <c r="C302" s="44"/>
      <c r="D302" s="44"/>
      <c r="E302" s="44"/>
      <c r="F302" s="44"/>
      <c r="G302" s="44">
        <f t="shared" si="100"/>
        <v>6559081000</v>
      </c>
      <c r="H302" s="44">
        <f t="shared" si="101"/>
        <v>6625447000</v>
      </c>
      <c r="I302" s="44">
        <f t="shared" si="102"/>
        <v>7102654000</v>
      </c>
      <c r="J302" s="44">
        <f t="shared" si="103"/>
        <v>7844873000</v>
      </c>
      <c r="K302" s="44">
        <f t="shared" si="91"/>
        <v>9304808000</v>
      </c>
    </row>
    <row r="303" spans="1:11" x14ac:dyDescent="0.25">
      <c r="A303" t="s">
        <v>503</v>
      </c>
      <c r="B303" s="44"/>
      <c r="C303" s="44"/>
      <c r="D303" s="44"/>
      <c r="E303" s="44"/>
      <c r="F303" s="44"/>
      <c r="G303" s="44">
        <f t="shared" si="100"/>
        <v>1718266000</v>
      </c>
      <c r="H303" s="44">
        <f t="shared" si="101"/>
        <v>1624344000</v>
      </c>
      <c r="I303" s="44">
        <f t="shared" si="102"/>
        <v>1657911000</v>
      </c>
      <c r="J303" s="44">
        <f t="shared" si="103"/>
        <v>1824230000</v>
      </c>
      <c r="K303" s="44">
        <f t="shared" si="91"/>
        <v>2376333000</v>
      </c>
    </row>
    <row r="304" spans="1:11" x14ac:dyDescent="0.25">
      <c r="A304" t="s">
        <v>504</v>
      </c>
      <c r="B304" s="44"/>
      <c r="C304" s="44"/>
      <c r="D304" s="44"/>
      <c r="E304" s="44"/>
      <c r="F304" s="44"/>
      <c r="G304" s="44">
        <f t="shared" si="100"/>
        <v>0</v>
      </c>
      <c r="H304" s="44">
        <f t="shared" si="101"/>
        <v>0</v>
      </c>
      <c r="I304" s="44">
        <f t="shared" si="102"/>
        <v>0</v>
      </c>
      <c r="J304" s="44">
        <f t="shared" si="103"/>
        <v>0</v>
      </c>
      <c r="K304" s="44">
        <f t="shared" si="91"/>
        <v>0</v>
      </c>
    </row>
    <row r="307" spans="1:11" x14ac:dyDescent="0.25">
      <c r="A307" t="s">
        <v>517</v>
      </c>
      <c r="B307" s="44"/>
      <c r="C307" s="44"/>
      <c r="D307" s="44"/>
      <c r="E307" s="44"/>
      <c r="F307" s="44"/>
      <c r="G307" s="44">
        <f t="shared" ref="G307:G314" si="104">SUM(D247:G247)</f>
        <v>8277349000</v>
      </c>
      <c r="H307" s="44">
        <f t="shared" ref="H307:H314" si="105">SUM(E247:H247)</f>
        <v>8249794000</v>
      </c>
      <c r="I307" s="44">
        <f t="shared" ref="I307:I314" si="106">SUM(F247:I247)</f>
        <v>8760568000</v>
      </c>
      <c r="J307" s="44">
        <f t="shared" ref="J307:J314" si="107">SUM(G247:J247)</f>
        <v>9669104000</v>
      </c>
      <c r="K307" s="44">
        <f t="shared" ref="K307:K314" si="108">SUM(H247:K247)</f>
        <v>11681142000</v>
      </c>
    </row>
    <row r="308" spans="1:11" x14ac:dyDescent="0.25">
      <c r="A308" t="s">
        <v>516</v>
      </c>
      <c r="B308" s="44"/>
      <c r="C308" s="44"/>
      <c r="D308" s="44"/>
      <c r="E308" s="44"/>
      <c r="F308" s="44"/>
      <c r="G308" s="44">
        <f t="shared" si="104"/>
        <v>8277351000</v>
      </c>
      <c r="H308" s="44">
        <f t="shared" si="105"/>
        <v>8249796000</v>
      </c>
      <c r="I308" s="44">
        <f t="shared" si="106"/>
        <v>8760570000</v>
      </c>
      <c r="J308" s="44">
        <f t="shared" si="107"/>
        <v>9669106000</v>
      </c>
      <c r="K308" s="44">
        <f t="shared" si="108"/>
        <v>11681141000</v>
      </c>
    </row>
    <row r="309" spans="1:11" x14ac:dyDescent="0.25">
      <c r="A309" t="s">
        <v>489</v>
      </c>
      <c r="B309" s="44"/>
      <c r="C309" s="44"/>
      <c r="D309" s="44"/>
      <c r="E309" s="44"/>
      <c r="F309" s="44"/>
      <c r="G309" s="44">
        <f t="shared" si="104"/>
        <v>2719232000</v>
      </c>
      <c r="H309" s="44">
        <f t="shared" si="105"/>
        <v>2710073000</v>
      </c>
      <c r="I309" s="44">
        <f t="shared" si="106"/>
        <v>2863792000</v>
      </c>
      <c r="J309" s="44">
        <f t="shared" si="107"/>
        <v>3095127000</v>
      </c>
      <c r="K309" s="44">
        <f t="shared" si="108"/>
        <v>3701845000</v>
      </c>
    </row>
    <row r="310" spans="1:11" x14ac:dyDescent="0.25">
      <c r="A310" t="s">
        <v>490</v>
      </c>
      <c r="B310" s="44"/>
      <c r="C310" s="44"/>
      <c r="D310" s="44"/>
      <c r="E310" s="44"/>
      <c r="F310" s="44"/>
      <c r="G310" s="44">
        <f t="shared" si="104"/>
        <v>2178185000</v>
      </c>
      <c r="H310" s="44">
        <f t="shared" si="105"/>
        <v>2238048000</v>
      </c>
      <c r="I310" s="44">
        <f t="shared" si="106"/>
        <v>2426067000</v>
      </c>
      <c r="J310" s="44">
        <f t="shared" si="107"/>
        <v>2631446000</v>
      </c>
      <c r="K310" s="44">
        <f t="shared" si="108"/>
        <v>3039043000</v>
      </c>
    </row>
    <row r="311" spans="1:11" x14ac:dyDescent="0.25">
      <c r="A311" t="s">
        <v>491</v>
      </c>
      <c r="B311" s="44"/>
      <c r="C311" s="44"/>
      <c r="D311" s="44"/>
      <c r="E311" s="44"/>
      <c r="F311" s="44"/>
      <c r="G311" s="44">
        <f t="shared" si="104"/>
        <v>1661667000</v>
      </c>
      <c r="H311" s="44">
        <f t="shared" si="105"/>
        <v>1677331000</v>
      </c>
      <c r="I311" s="44">
        <f t="shared" si="106"/>
        <v>1812800000</v>
      </c>
      <c r="J311" s="44">
        <f t="shared" si="107"/>
        <v>2118303000</v>
      </c>
      <c r="K311" s="44">
        <f t="shared" si="108"/>
        <v>2563920000</v>
      </c>
    </row>
    <row r="312" spans="1:11" x14ac:dyDescent="0.25">
      <c r="A312" t="s">
        <v>492</v>
      </c>
      <c r="B312" s="44"/>
      <c r="C312" s="44"/>
      <c r="D312" s="44"/>
      <c r="E312" s="44"/>
      <c r="F312" s="44"/>
      <c r="G312" s="44">
        <f t="shared" si="104"/>
        <v>153118000</v>
      </c>
      <c r="H312" s="44">
        <f t="shared" si="105"/>
        <v>160333000</v>
      </c>
      <c r="I312" s="44">
        <f t="shared" si="106"/>
        <v>166980000</v>
      </c>
      <c r="J312" s="44">
        <f t="shared" si="107"/>
        <v>192234000</v>
      </c>
      <c r="K312" s="44">
        <f t="shared" si="108"/>
        <v>268198000</v>
      </c>
    </row>
    <row r="313" spans="1:11" x14ac:dyDescent="0.25">
      <c r="A313" t="s">
        <v>493</v>
      </c>
      <c r="B313" s="44"/>
      <c r="C313" s="44"/>
      <c r="D313" s="44"/>
      <c r="E313" s="44"/>
      <c r="F313" s="44"/>
      <c r="G313" s="44">
        <f t="shared" si="104"/>
        <v>1565149000</v>
      </c>
      <c r="H313" s="44">
        <f t="shared" si="105"/>
        <v>1464011000</v>
      </c>
      <c r="I313" s="44">
        <f t="shared" si="106"/>
        <v>1490931000</v>
      </c>
      <c r="J313" s="44">
        <f t="shared" si="107"/>
        <v>1631996000</v>
      </c>
      <c r="K313" s="44">
        <f t="shared" si="108"/>
        <v>2108135000</v>
      </c>
    </row>
    <row r="314" spans="1:11" x14ac:dyDescent="0.25">
      <c r="A314" t="s">
        <v>505</v>
      </c>
      <c r="B314" s="44"/>
      <c r="C314" s="44"/>
      <c r="D314" s="44"/>
      <c r="E314" s="44"/>
      <c r="F314" s="44"/>
      <c r="G314" s="44">
        <f t="shared" si="104"/>
        <v>0</v>
      </c>
      <c r="H314" s="44">
        <f t="shared" si="105"/>
        <v>0</v>
      </c>
      <c r="I314" s="44">
        <f t="shared" si="106"/>
        <v>0</v>
      </c>
      <c r="J314" s="44">
        <f t="shared" si="107"/>
        <v>0</v>
      </c>
      <c r="K314" s="44">
        <f t="shared" si="108"/>
        <v>0</v>
      </c>
    </row>
  </sheetData>
  <mergeCells count="2">
    <mergeCell ref="B199:K199"/>
    <mergeCell ref="B259:K25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6"/>
  <sheetViews>
    <sheetView workbookViewId="0">
      <pane xSplit="1" ySplit="4" topLeftCell="B152" activePane="bottomRight" state="frozen"/>
      <selection pane="topRight"/>
      <selection pane="bottomLeft"/>
      <selection pane="bottomRight" activeCell="B317" sqref="B317"/>
    </sheetView>
  </sheetViews>
  <sheetFormatPr defaultRowHeight="15" x14ac:dyDescent="0.25"/>
  <cols>
    <col min="1" max="1" width="24" customWidth="1"/>
    <col min="2" max="10" width="15.7109375" customWidth="1"/>
  </cols>
  <sheetData>
    <row r="1" spans="1:10" x14ac:dyDescent="0.25">
      <c r="A1" s="17" t="s">
        <v>357</v>
      </c>
      <c r="J1" s="1" t="s">
        <v>359</v>
      </c>
    </row>
    <row r="2" spans="1:10" x14ac:dyDescent="0.25">
      <c r="A2" s="17" t="s">
        <v>358</v>
      </c>
    </row>
    <row r="4" spans="1:10" x14ac:dyDescent="0.25">
      <c r="A4" s="2" t="s">
        <v>0</v>
      </c>
      <c r="B4" s="4">
        <v>41274</v>
      </c>
      <c r="C4" s="4">
        <v>41639</v>
      </c>
      <c r="D4" s="4">
        <v>42004</v>
      </c>
      <c r="E4" s="4">
        <v>42369</v>
      </c>
      <c r="F4" s="4">
        <v>42735</v>
      </c>
      <c r="G4" s="4">
        <v>43100</v>
      </c>
      <c r="H4" s="4">
        <v>43465</v>
      </c>
      <c r="I4" s="4">
        <v>43830</v>
      </c>
      <c r="J4" s="4">
        <v>44196</v>
      </c>
    </row>
    <row r="5" spans="1:10" x14ac:dyDescent="0.25">
      <c r="A5" s="3" t="s">
        <v>1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</row>
    <row r="6" spans="1:10" x14ac:dyDescent="0.25">
      <c r="A6" s="3" t="s">
        <v>3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</row>
    <row r="7" spans="1:10" x14ac:dyDescent="0.25">
      <c r="A7" s="3" t="s">
        <v>5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</row>
    <row r="8" spans="1:10" x14ac:dyDescent="0.25">
      <c r="A8" s="3"/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3" t="s">
        <v>7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</row>
    <row r="10" spans="1:10" x14ac:dyDescent="0.25">
      <c r="A10" s="3" t="s">
        <v>8</v>
      </c>
      <c r="B10" s="7">
        <v>5785582000</v>
      </c>
      <c r="C10" s="7">
        <v>6035705000</v>
      </c>
      <c r="D10" s="7">
        <v>6289024000</v>
      </c>
      <c r="E10" s="7">
        <v>7990379000</v>
      </c>
      <c r="F10" s="7">
        <v>7057115000</v>
      </c>
      <c r="G10" s="7">
        <v>7922248000</v>
      </c>
      <c r="H10" s="7">
        <v>9019190000</v>
      </c>
      <c r="I10" s="7">
        <v>9375411000</v>
      </c>
      <c r="J10" s="7">
        <v>12411803000</v>
      </c>
    </row>
    <row r="11" spans="1:10" x14ac:dyDescent="0.25">
      <c r="A11" s="6" t="s">
        <v>9</v>
      </c>
      <c r="B11" s="9">
        <v>2154873000</v>
      </c>
      <c r="C11" s="9">
        <v>2218944000</v>
      </c>
      <c r="D11" s="9">
        <v>2257929000</v>
      </c>
      <c r="E11" s="9">
        <v>2727855000</v>
      </c>
      <c r="F11" s="9">
        <v>2364711000</v>
      </c>
      <c r="G11" s="9">
        <v>3048763000</v>
      </c>
      <c r="H11" s="9">
        <v>3523802000</v>
      </c>
      <c r="I11" s="9">
        <v>3357621000</v>
      </c>
      <c r="J11" s="9">
        <v>5161926000</v>
      </c>
    </row>
    <row r="12" spans="1:10" x14ac:dyDescent="0.25">
      <c r="A12" s="8" t="s">
        <v>10</v>
      </c>
      <c r="B12" s="11">
        <v>506500000</v>
      </c>
      <c r="C12" s="11">
        <v>662230000</v>
      </c>
      <c r="D12" s="11">
        <v>717079000</v>
      </c>
      <c r="E12" s="11">
        <v>739255000</v>
      </c>
      <c r="F12" s="11">
        <v>431599000</v>
      </c>
      <c r="G12" s="11">
        <v>543331000</v>
      </c>
      <c r="H12" s="11">
        <v>486903000</v>
      </c>
      <c r="I12" s="11">
        <v>646137000</v>
      </c>
      <c r="J12" s="11">
        <v>1605439000</v>
      </c>
    </row>
    <row r="13" spans="1:10" x14ac:dyDescent="0.25">
      <c r="A13" s="8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</row>
    <row r="14" spans="1:10" x14ac:dyDescent="0.25">
      <c r="A14" s="10" t="s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12" t="s">
        <v>13</v>
      </c>
      <c r="B15" s="5" t="s">
        <v>14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7">
        <v>0</v>
      </c>
      <c r="I15" s="7">
        <v>0</v>
      </c>
      <c r="J15" s="7">
        <v>0</v>
      </c>
    </row>
    <row r="16" spans="1:10" x14ac:dyDescent="0.25">
      <c r="A16" s="13" t="s">
        <v>15</v>
      </c>
      <c r="B16" s="14" t="s">
        <v>14</v>
      </c>
      <c r="C16" s="14" t="s">
        <v>14</v>
      </c>
      <c r="D16" s="14" t="s">
        <v>14</v>
      </c>
      <c r="E16" s="14" t="s">
        <v>14</v>
      </c>
      <c r="F16" s="14" t="s">
        <v>14</v>
      </c>
      <c r="G16" s="14" t="s">
        <v>14</v>
      </c>
      <c r="H16" s="9">
        <v>0</v>
      </c>
      <c r="I16" s="9">
        <v>0</v>
      </c>
      <c r="J16" s="9">
        <v>0</v>
      </c>
    </row>
    <row r="17" spans="1:10" x14ac:dyDescent="0.25">
      <c r="A17" s="13" t="s">
        <v>16</v>
      </c>
      <c r="B17" s="14" t="s">
        <v>14</v>
      </c>
      <c r="C17" s="14" t="s">
        <v>14</v>
      </c>
      <c r="D17" s="14" t="s">
        <v>14</v>
      </c>
      <c r="E17" s="14" t="s">
        <v>14</v>
      </c>
      <c r="F17" s="14" t="s">
        <v>14</v>
      </c>
      <c r="G17" s="14" t="s">
        <v>14</v>
      </c>
      <c r="H17" s="9">
        <v>0</v>
      </c>
      <c r="I17" s="9">
        <v>0</v>
      </c>
      <c r="J17" s="9">
        <v>0</v>
      </c>
    </row>
    <row r="18" spans="1:10" x14ac:dyDescent="0.25">
      <c r="A18" s="13" t="s">
        <v>17</v>
      </c>
      <c r="B18" s="14" t="s">
        <v>14</v>
      </c>
      <c r="C18" s="14" t="s">
        <v>14</v>
      </c>
      <c r="D18" s="14" t="s">
        <v>14</v>
      </c>
      <c r="E18" s="14" t="s">
        <v>14</v>
      </c>
      <c r="F18" s="14" t="s">
        <v>14</v>
      </c>
      <c r="G18" s="14" t="s">
        <v>14</v>
      </c>
      <c r="H18" s="9">
        <v>0</v>
      </c>
      <c r="I18" s="9">
        <v>0</v>
      </c>
      <c r="J18" s="9">
        <v>0</v>
      </c>
    </row>
    <row r="19" spans="1:10" x14ac:dyDescent="0.25">
      <c r="A19" s="12" t="s">
        <v>18</v>
      </c>
      <c r="B19" s="5" t="s">
        <v>14</v>
      </c>
      <c r="C19" s="5" t="s">
        <v>14</v>
      </c>
      <c r="D19" s="5" t="s">
        <v>14</v>
      </c>
      <c r="E19" s="5" t="s">
        <v>14</v>
      </c>
      <c r="F19" s="5" t="s">
        <v>14</v>
      </c>
      <c r="G19" s="5" t="s">
        <v>14</v>
      </c>
      <c r="H19" s="7">
        <v>0</v>
      </c>
      <c r="I19" s="7">
        <v>0</v>
      </c>
      <c r="J19" s="7">
        <v>0</v>
      </c>
    </row>
    <row r="20" spans="1:10" x14ac:dyDescent="0.25">
      <c r="A20" s="10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20</v>
      </c>
      <c r="B21" s="11">
        <v>759724000</v>
      </c>
      <c r="C21" s="11">
        <v>747813000</v>
      </c>
      <c r="D21" s="11">
        <v>720663000</v>
      </c>
      <c r="E21" s="11">
        <v>865496000</v>
      </c>
      <c r="F21" s="11">
        <v>835158000</v>
      </c>
      <c r="G21" s="11">
        <v>1064916000</v>
      </c>
      <c r="H21" s="11">
        <v>1253826000</v>
      </c>
      <c r="I21" s="11">
        <v>1029650000</v>
      </c>
      <c r="J21" s="11">
        <v>1405954000</v>
      </c>
    </row>
    <row r="22" spans="1:10" x14ac:dyDescent="0.25">
      <c r="A22" s="10" t="s">
        <v>21</v>
      </c>
      <c r="B22" s="9">
        <v>759724000</v>
      </c>
      <c r="C22" s="9">
        <v>747813000</v>
      </c>
      <c r="D22" s="9">
        <v>720663000</v>
      </c>
      <c r="E22" s="9">
        <v>865496000</v>
      </c>
      <c r="F22" s="9">
        <v>835158000</v>
      </c>
      <c r="G22" s="9">
        <v>1064916000</v>
      </c>
      <c r="H22" s="9">
        <v>1253826000</v>
      </c>
      <c r="I22" s="9">
        <v>1029650000</v>
      </c>
      <c r="J22" s="9">
        <v>1405954000</v>
      </c>
    </row>
    <row r="23" spans="1:10" x14ac:dyDescent="0.25">
      <c r="A23" s="10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23</v>
      </c>
      <c r="B24" s="11">
        <v>703903000</v>
      </c>
      <c r="C24" s="11">
        <v>639060000</v>
      </c>
      <c r="D24" s="11">
        <v>678188000</v>
      </c>
      <c r="E24" s="11">
        <v>854665000</v>
      </c>
      <c r="F24" s="11">
        <v>865029000</v>
      </c>
      <c r="G24" s="11">
        <v>1191445000</v>
      </c>
      <c r="H24" s="11">
        <v>1448021000</v>
      </c>
      <c r="I24" s="11">
        <v>1328470000</v>
      </c>
      <c r="J24" s="11">
        <v>1748497000</v>
      </c>
    </row>
    <row r="25" spans="1:10" x14ac:dyDescent="0.25">
      <c r="A25" s="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</row>
    <row r="26" spans="1:10" x14ac:dyDescent="0.25">
      <c r="A26" s="8" t="s">
        <v>25</v>
      </c>
      <c r="B26" s="11">
        <v>110514000</v>
      </c>
      <c r="C26" s="11">
        <v>116509000</v>
      </c>
      <c r="D26" s="11">
        <v>111705000</v>
      </c>
      <c r="E26" s="11">
        <v>135447000</v>
      </c>
      <c r="F26" s="11">
        <v>125249000</v>
      </c>
      <c r="G26" s="11">
        <v>159482000</v>
      </c>
      <c r="H26" s="11">
        <v>237675000</v>
      </c>
      <c r="I26" s="11">
        <v>223589000</v>
      </c>
      <c r="J26" s="11">
        <v>239884000</v>
      </c>
    </row>
    <row r="27" spans="1:10" x14ac:dyDescent="0.25">
      <c r="A27" s="10" t="s">
        <v>26</v>
      </c>
      <c r="B27" s="9">
        <v>110514000</v>
      </c>
      <c r="C27" s="9">
        <v>116509000</v>
      </c>
      <c r="D27" s="9">
        <v>111705000</v>
      </c>
      <c r="E27" s="9">
        <v>135447000</v>
      </c>
      <c r="F27" s="9">
        <v>125249000</v>
      </c>
      <c r="G27" s="9">
        <v>159482000</v>
      </c>
      <c r="H27" s="9">
        <v>237675000</v>
      </c>
      <c r="I27" s="9">
        <v>223589000</v>
      </c>
      <c r="J27" s="9">
        <v>239884000</v>
      </c>
    </row>
    <row r="28" spans="1:10" x14ac:dyDescent="0.25">
      <c r="A28" s="8" t="s">
        <v>27</v>
      </c>
      <c r="B28" s="11">
        <v>31420000</v>
      </c>
      <c r="C28" s="11">
        <v>22000000</v>
      </c>
      <c r="D28" s="11">
        <v>13877000</v>
      </c>
      <c r="E28" s="11">
        <v>30592000</v>
      </c>
      <c r="F28" s="11">
        <v>23054000</v>
      </c>
      <c r="G28" s="11">
        <v>19657000</v>
      </c>
      <c r="H28" s="11">
        <v>19641000</v>
      </c>
      <c r="I28" s="11">
        <v>20210000</v>
      </c>
      <c r="J28" s="11">
        <v>49145000</v>
      </c>
    </row>
    <row r="29" spans="1:10" x14ac:dyDescent="0.25">
      <c r="A29" s="8" t="s">
        <v>28</v>
      </c>
      <c r="B29" s="11">
        <v>42812000</v>
      </c>
      <c r="C29" s="11">
        <v>31332000</v>
      </c>
      <c r="D29" s="11">
        <v>16417000</v>
      </c>
      <c r="E29" s="11">
        <v>102400000</v>
      </c>
      <c r="F29" s="11">
        <v>84622000</v>
      </c>
      <c r="G29" s="11">
        <v>69932000</v>
      </c>
      <c r="H29" s="11">
        <v>77736000</v>
      </c>
      <c r="I29" s="11">
        <v>109565000</v>
      </c>
      <c r="J29" s="11">
        <v>113007000</v>
      </c>
    </row>
    <row r="30" spans="1:10" x14ac:dyDescent="0.25">
      <c r="A30" s="10" t="s">
        <v>29</v>
      </c>
      <c r="B30" s="9">
        <v>0</v>
      </c>
      <c r="C30" s="9">
        <v>0</v>
      </c>
      <c r="D30" s="9">
        <v>0</v>
      </c>
      <c r="E30" s="9">
        <v>15604000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10" t="s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10" t="s">
        <v>31</v>
      </c>
      <c r="B32" s="9">
        <v>42812000</v>
      </c>
      <c r="C32" s="9">
        <v>31332000</v>
      </c>
      <c r="D32" s="9">
        <v>16417000</v>
      </c>
      <c r="E32" s="9">
        <v>86796000</v>
      </c>
      <c r="F32" s="9">
        <v>84622000</v>
      </c>
      <c r="G32" s="9">
        <v>69932000</v>
      </c>
      <c r="H32" s="9">
        <v>77736000</v>
      </c>
      <c r="I32" s="9">
        <v>109565000</v>
      </c>
      <c r="J32" s="9">
        <v>113007000</v>
      </c>
    </row>
    <row r="33" spans="1:10" x14ac:dyDescent="0.25">
      <c r="A33" s="6" t="s">
        <v>32</v>
      </c>
      <c r="B33" s="9">
        <v>3630709000</v>
      </c>
      <c r="C33" s="9">
        <v>3816761000</v>
      </c>
      <c r="D33" s="9">
        <v>4031095000</v>
      </c>
      <c r="E33" s="9">
        <v>5262524000</v>
      </c>
      <c r="F33" s="9">
        <v>4692404000</v>
      </c>
      <c r="G33" s="9">
        <v>4873485000</v>
      </c>
      <c r="H33" s="9">
        <v>5495388000</v>
      </c>
      <c r="I33" s="9">
        <v>6017790000</v>
      </c>
      <c r="J33" s="9">
        <v>7249877000</v>
      </c>
    </row>
    <row r="34" spans="1:10" x14ac:dyDescent="0.25">
      <c r="A34" s="8" t="s">
        <v>33</v>
      </c>
      <c r="B34" s="11">
        <v>195972000</v>
      </c>
      <c r="C34" s="11">
        <v>154462000</v>
      </c>
      <c r="D34" s="11">
        <v>125990000</v>
      </c>
      <c r="E34" s="11">
        <v>144210000</v>
      </c>
      <c r="F34" s="11">
        <v>289053000</v>
      </c>
      <c r="G34" s="11">
        <v>382631000</v>
      </c>
      <c r="H34" s="11">
        <v>383180000</v>
      </c>
      <c r="I34" s="11">
        <v>538299000</v>
      </c>
      <c r="J34" s="11">
        <v>629630000</v>
      </c>
    </row>
    <row r="35" spans="1:10" x14ac:dyDescent="0.25">
      <c r="A35" s="10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12" t="s">
        <v>35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7">
        <v>0</v>
      </c>
      <c r="I36" s="7">
        <v>0</v>
      </c>
      <c r="J36" s="7">
        <v>0</v>
      </c>
    </row>
    <row r="37" spans="1:10" x14ac:dyDescent="0.25">
      <c r="A37" s="13" t="s">
        <v>36</v>
      </c>
      <c r="B37" s="14" t="s">
        <v>14</v>
      </c>
      <c r="C37" s="14" t="s">
        <v>14</v>
      </c>
      <c r="D37" s="14" t="s">
        <v>14</v>
      </c>
      <c r="E37" s="14" t="s">
        <v>14</v>
      </c>
      <c r="F37" s="14" t="s">
        <v>14</v>
      </c>
      <c r="G37" s="14" t="s">
        <v>14</v>
      </c>
      <c r="H37" s="9">
        <v>0</v>
      </c>
      <c r="I37" s="9">
        <v>0</v>
      </c>
      <c r="J37" s="9">
        <v>0</v>
      </c>
    </row>
    <row r="38" spans="1:10" x14ac:dyDescent="0.25">
      <c r="A38" s="13" t="s">
        <v>17</v>
      </c>
      <c r="B38" s="14" t="s">
        <v>14</v>
      </c>
      <c r="C38" s="14" t="s">
        <v>14</v>
      </c>
      <c r="D38" s="14" t="s">
        <v>14</v>
      </c>
      <c r="E38" s="14" t="s">
        <v>14</v>
      </c>
      <c r="F38" s="14" t="s">
        <v>14</v>
      </c>
      <c r="G38" s="14" t="s">
        <v>14</v>
      </c>
      <c r="H38" s="9">
        <v>0</v>
      </c>
      <c r="I38" s="9">
        <v>0</v>
      </c>
      <c r="J38" s="9">
        <v>0</v>
      </c>
    </row>
    <row r="39" spans="1:10" x14ac:dyDescent="0.25">
      <c r="A39" s="12" t="s">
        <v>37</v>
      </c>
      <c r="B39" s="5" t="s">
        <v>14</v>
      </c>
      <c r="C39" s="5" t="s">
        <v>14</v>
      </c>
      <c r="D39" s="5" t="s">
        <v>14</v>
      </c>
      <c r="E39" s="5" t="s">
        <v>14</v>
      </c>
      <c r="F39" s="5" t="s">
        <v>14</v>
      </c>
      <c r="G39" s="5" t="s">
        <v>14</v>
      </c>
      <c r="H39" s="7">
        <v>0</v>
      </c>
      <c r="I39" s="7">
        <v>0</v>
      </c>
      <c r="J39" s="7">
        <v>0</v>
      </c>
    </row>
    <row r="40" spans="1:10" x14ac:dyDescent="0.25">
      <c r="A40" s="10" t="s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10" t="s">
        <v>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12" t="s">
        <v>40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x14ac:dyDescent="0.25">
      <c r="A43" s="12" t="s">
        <v>41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x14ac:dyDescent="0.25">
      <c r="A44" s="10" t="s">
        <v>42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10" t="s">
        <v>43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10" t="s">
        <v>44</v>
      </c>
      <c r="B46" s="9">
        <v>64717000</v>
      </c>
      <c r="C46" s="9">
        <v>85744000</v>
      </c>
      <c r="D46" s="9">
        <v>74258000</v>
      </c>
      <c r="E46" s="9">
        <v>88129000</v>
      </c>
      <c r="F46" s="9">
        <v>188481000</v>
      </c>
      <c r="G46" s="9">
        <v>257236000</v>
      </c>
      <c r="H46" s="9">
        <v>257517000</v>
      </c>
      <c r="I46" s="9">
        <v>306628000</v>
      </c>
      <c r="J46" s="9">
        <v>419156000</v>
      </c>
    </row>
    <row r="47" spans="1:10" x14ac:dyDescent="0.25">
      <c r="A47" s="12" t="s">
        <v>45</v>
      </c>
      <c r="B47" s="7">
        <v>64717000</v>
      </c>
      <c r="C47" s="5" t="s">
        <v>14</v>
      </c>
      <c r="D47" s="5" t="s">
        <v>14</v>
      </c>
      <c r="E47" s="5" t="s">
        <v>14</v>
      </c>
      <c r="F47" s="5" t="s">
        <v>14</v>
      </c>
      <c r="G47" s="5" t="s">
        <v>14</v>
      </c>
      <c r="H47" s="7">
        <v>257517000</v>
      </c>
      <c r="I47" s="7">
        <v>306628000</v>
      </c>
      <c r="J47" s="7">
        <v>419156000</v>
      </c>
    </row>
    <row r="48" spans="1:10" x14ac:dyDescent="0.25">
      <c r="A48" s="12" t="s">
        <v>17</v>
      </c>
      <c r="B48" s="7">
        <v>0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7">
        <v>0</v>
      </c>
      <c r="I48" s="7">
        <v>0</v>
      </c>
      <c r="J48" s="7">
        <v>0</v>
      </c>
    </row>
    <row r="49" spans="1:10" x14ac:dyDescent="0.25">
      <c r="A49" s="10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10" t="s">
        <v>47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31961000</v>
      </c>
      <c r="H50" s="9">
        <v>32612000</v>
      </c>
      <c r="I50" s="9">
        <v>4897000</v>
      </c>
      <c r="J50" s="9">
        <v>0</v>
      </c>
    </row>
    <row r="51" spans="1:10" x14ac:dyDescent="0.25">
      <c r="A51" s="12" t="s">
        <v>48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31961000</v>
      </c>
      <c r="H51" s="7">
        <v>32612000</v>
      </c>
      <c r="I51" s="7">
        <v>4897000</v>
      </c>
      <c r="J51" s="7">
        <v>0</v>
      </c>
    </row>
    <row r="52" spans="1:10" x14ac:dyDescent="0.25">
      <c r="A52" s="12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x14ac:dyDescent="0.25">
      <c r="A53" s="12" t="s">
        <v>50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x14ac:dyDescent="0.25">
      <c r="A54" s="12" t="s">
        <v>51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x14ac:dyDescent="0.25">
      <c r="A55" s="10" t="s">
        <v>52</v>
      </c>
      <c r="B55" s="9">
        <v>131255000</v>
      </c>
      <c r="C55" s="9">
        <v>68718000</v>
      </c>
      <c r="D55" s="9">
        <v>51732000</v>
      </c>
      <c r="E55" s="9">
        <v>56081000</v>
      </c>
      <c r="F55" s="9">
        <v>100572000</v>
      </c>
      <c r="G55" s="9">
        <v>93434000</v>
      </c>
      <c r="H55" s="9">
        <v>93051000</v>
      </c>
      <c r="I55" s="9">
        <v>226774000</v>
      </c>
      <c r="J55" s="9">
        <v>210474000</v>
      </c>
    </row>
    <row r="56" spans="1:10" x14ac:dyDescent="0.25">
      <c r="A56" s="12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x14ac:dyDescent="0.25">
      <c r="A57" s="12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x14ac:dyDescent="0.25">
      <c r="A58" s="12" t="s">
        <v>17</v>
      </c>
      <c r="B58" s="7">
        <v>131255000</v>
      </c>
      <c r="C58" s="7">
        <v>68718000</v>
      </c>
      <c r="D58" s="7">
        <v>51732000</v>
      </c>
      <c r="E58" s="7">
        <v>56081000</v>
      </c>
      <c r="F58" s="7">
        <v>100572000</v>
      </c>
      <c r="G58" s="7">
        <v>93434000</v>
      </c>
      <c r="H58" s="7">
        <v>93051000</v>
      </c>
      <c r="I58" s="7">
        <v>226774000</v>
      </c>
      <c r="J58" s="7">
        <v>210474000</v>
      </c>
    </row>
    <row r="59" spans="1:10" x14ac:dyDescent="0.25">
      <c r="A59" s="8" t="s">
        <v>55</v>
      </c>
      <c r="B59" s="11">
        <v>104000</v>
      </c>
      <c r="C59" s="11">
        <v>19397000</v>
      </c>
      <c r="D59" s="11">
        <v>12354000</v>
      </c>
      <c r="E59" s="11">
        <v>73020000</v>
      </c>
      <c r="F59" s="11">
        <v>81425000</v>
      </c>
      <c r="G59" s="11">
        <v>47339000</v>
      </c>
      <c r="H59" s="11">
        <v>46803000</v>
      </c>
      <c r="I59" s="11">
        <v>74612000</v>
      </c>
      <c r="J59" s="11">
        <v>95283000</v>
      </c>
    </row>
    <row r="60" spans="1:10" x14ac:dyDescent="0.25">
      <c r="A60" s="10" t="s">
        <v>56</v>
      </c>
      <c r="B60" s="9">
        <v>104000</v>
      </c>
      <c r="C60" s="9">
        <v>19397000</v>
      </c>
      <c r="D60" s="9">
        <v>12354000</v>
      </c>
      <c r="E60" s="9">
        <v>73020000</v>
      </c>
      <c r="F60" s="9">
        <v>81425000</v>
      </c>
      <c r="G60" s="9">
        <v>47339000</v>
      </c>
      <c r="H60" s="9">
        <v>46803000</v>
      </c>
      <c r="I60" s="9">
        <v>74612000</v>
      </c>
      <c r="J60" s="9">
        <v>95283000</v>
      </c>
    </row>
    <row r="61" spans="1:10" x14ac:dyDescent="0.25">
      <c r="A61" s="12" t="s">
        <v>57</v>
      </c>
      <c r="B61" s="5" t="s">
        <v>14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65691000</v>
      </c>
      <c r="J61" s="7">
        <v>78647000</v>
      </c>
    </row>
    <row r="62" spans="1:10" x14ac:dyDescent="0.25">
      <c r="A62" s="12" t="s">
        <v>58</v>
      </c>
      <c r="B62" s="5" t="s">
        <v>14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 x14ac:dyDescent="0.25">
      <c r="A63" s="12" t="s">
        <v>59</v>
      </c>
      <c r="B63" s="5" t="s">
        <v>14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46803000</v>
      </c>
      <c r="I63" s="7">
        <v>8749000</v>
      </c>
      <c r="J63" s="7">
        <v>16463000</v>
      </c>
    </row>
    <row r="64" spans="1:10" x14ac:dyDescent="0.25">
      <c r="A64" s="12" t="s">
        <v>60</v>
      </c>
      <c r="B64" s="5" t="s">
        <v>14</v>
      </c>
      <c r="C64" s="7">
        <v>19397000</v>
      </c>
      <c r="D64" s="7">
        <v>12354000</v>
      </c>
      <c r="E64" s="7">
        <v>73020000</v>
      </c>
      <c r="F64" s="7">
        <v>81425000</v>
      </c>
      <c r="G64" s="7">
        <v>47339000</v>
      </c>
      <c r="H64" s="7">
        <v>0</v>
      </c>
      <c r="I64" s="7">
        <v>172000</v>
      </c>
      <c r="J64" s="7">
        <v>173000</v>
      </c>
    </row>
    <row r="65" spans="1:10" x14ac:dyDescent="0.25">
      <c r="A65" s="10" t="s">
        <v>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</row>
    <row r="66" spans="1:10" x14ac:dyDescent="0.25">
      <c r="A66" s="8" t="s">
        <v>62</v>
      </c>
      <c r="B66" s="11">
        <v>2565544000</v>
      </c>
      <c r="C66" s="11">
        <v>2616897000</v>
      </c>
      <c r="D66" s="11">
        <v>2741962000</v>
      </c>
      <c r="E66" s="11">
        <v>3358914000</v>
      </c>
      <c r="F66" s="11">
        <v>2919881000</v>
      </c>
      <c r="G66" s="11">
        <v>3023091000</v>
      </c>
      <c r="H66" s="11">
        <v>3398325000</v>
      </c>
      <c r="I66" s="11">
        <v>3664744000</v>
      </c>
      <c r="J66" s="11">
        <v>4305084000</v>
      </c>
    </row>
    <row r="67" spans="1:10" x14ac:dyDescent="0.25">
      <c r="A67" s="10" t="s">
        <v>63</v>
      </c>
      <c r="B67" s="9">
        <v>2565544000</v>
      </c>
      <c r="C67" s="9">
        <v>2616897000</v>
      </c>
      <c r="D67" s="9">
        <v>2741962000</v>
      </c>
      <c r="E67" s="9">
        <v>3358914000</v>
      </c>
      <c r="F67" s="9">
        <v>2919881000</v>
      </c>
      <c r="G67" s="9">
        <v>3023091000</v>
      </c>
      <c r="H67" s="9">
        <v>3398325000</v>
      </c>
      <c r="I67" s="9">
        <v>3590747000</v>
      </c>
      <c r="J67" s="9">
        <v>4237764000</v>
      </c>
    </row>
    <row r="68" spans="1:10" x14ac:dyDescent="0.25">
      <c r="A68" s="10" t="s">
        <v>64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73997000</v>
      </c>
      <c r="J68" s="9">
        <v>67320000</v>
      </c>
    </row>
    <row r="69" spans="1:10" x14ac:dyDescent="0.25">
      <c r="A69" s="10" t="s">
        <v>65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</row>
    <row r="70" spans="1:10" x14ac:dyDescent="0.25">
      <c r="A70" s="8" t="s">
        <v>66</v>
      </c>
      <c r="B70" s="11">
        <v>869089000</v>
      </c>
      <c r="C70" s="11">
        <v>1026005000</v>
      </c>
      <c r="D70" s="11">
        <v>1150789000</v>
      </c>
      <c r="E70" s="11">
        <v>1686380000</v>
      </c>
      <c r="F70" s="11">
        <v>1402045000</v>
      </c>
      <c r="G70" s="11">
        <v>1420424000</v>
      </c>
      <c r="H70" s="11">
        <v>1667080000</v>
      </c>
      <c r="I70" s="11">
        <v>1740135000</v>
      </c>
      <c r="J70" s="11">
        <v>2219880000</v>
      </c>
    </row>
    <row r="71" spans="1:10" x14ac:dyDescent="0.25">
      <c r="A71" s="10" t="s">
        <v>67</v>
      </c>
      <c r="B71" s="9">
        <v>869089000</v>
      </c>
      <c r="C71" s="9">
        <v>1026005000</v>
      </c>
      <c r="D71" s="9">
        <v>1150789000</v>
      </c>
      <c r="E71" s="9">
        <v>1686380000</v>
      </c>
      <c r="F71" s="9">
        <v>1402045000</v>
      </c>
      <c r="G71" s="9">
        <v>1420424000</v>
      </c>
      <c r="H71" s="9">
        <v>1667080000</v>
      </c>
      <c r="I71" s="9">
        <v>1740135000</v>
      </c>
      <c r="J71" s="9">
        <v>2219880000</v>
      </c>
    </row>
    <row r="72" spans="1:10" x14ac:dyDescent="0.25">
      <c r="A72" s="12" t="s">
        <v>68</v>
      </c>
      <c r="B72" s="7">
        <v>4734000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</row>
    <row r="73" spans="1:10" x14ac:dyDescent="0.25">
      <c r="A73" s="12" t="s">
        <v>17</v>
      </c>
      <c r="B73" s="7">
        <v>864355000</v>
      </c>
      <c r="C73" s="7">
        <v>1026005000</v>
      </c>
      <c r="D73" s="7">
        <v>1150789000</v>
      </c>
      <c r="E73" s="7">
        <v>1686380000</v>
      </c>
      <c r="F73" s="7">
        <v>1402045000</v>
      </c>
      <c r="G73" s="7">
        <v>1420424000</v>
      </c>
      <c r="H73" s="7">
        <v>1667080000</v>
      </c>
      <c r="I73" s="7">
        <v>1740135000</v>
      </c>
      <c r="J73" s="7">
        <v>2219880000</v>
      </c>
    </row>
    <row r="74" spans="1:10" x14ac:dyDescent="0.25">
      <c r="A74" s="10" t="s">
        <v>69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</row>
    <row r="75" spans="1:10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3" t="s">
        <v>70</v>
      </c>
      <c r="B76" s="5" t="s">
        <v>2</v>
      </c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2</v>
      </c>
    </row>
    <row r="77" spans="1:10" x14ac:dyDescent="0.25">
      <c r="A77" s="3" t="s">
        <v>71</v>
      </c>
      <c r="B77" s="7">
        <v>5785582000</v>
      </c>
      <c r="C77" s="7">
        <v>6035705000</v>
      </c>
      <c r="D77" s="7">
        <v>6289024000</v>
      </c>
      <c r="E77" s="7">
        <v>7990379000</v>
      </c>
      <c r="F77" s="7">
        <v>7057115000</v>
      </c>
      <c r="G77" s="7">
        <v>7922248000</v>
      </c>
      <c r="H77" s="7">
        <v>9019190000</v>
      </c>
      <c r="I77" s="7">
        <v>9375411000</v>
      </c>
      <c r="J77" s="7">
        <v>12411803000</v>
      </c>
    </row>
    <row r="78" spans="1:10" x14ac:dyDescent="0.25">
      <c r="A78" s="6" t="s">
        <v>72</v>
      </c>
      <c r="B78" s="9">
        <v>1808742000</v>
      </c>
      <c r="C78" s="9">
        <v>1834151000</v>
      </c>
      <c r="D78" s="9">
        <v>2237802000</v>
      </c>
      <c r="E78" s="9">
        <v>3088750000</v>
      </c>
      <c r="F78" s="9">
        <v>2521719000</v>
      </c>
      <c r="G78" s="9">
        <v>3060854000</v>
      </c>
      <c r="H78" s="9">
        <v>3261829000</v>
      </c>
      <c r="I78" s="9">
        <v>2583618000</v>
      </c>
      <c r="J78" s="9">
        <v>4352451000</v>
      </c>
    </row>
    <row r="79" spans="1:10" x14ac:dyDescent="0.25">
      <c r="A79" s="8" t="s">
        <v>73</v>
      </c>
      <c r="B79" s="11">
        <v>138395000</v>
      </c>
      <c r="C79" s="11">
        <v>184306000</v>
      </c>
      <c r="D79" s="11">
        <v>161912000</v>
      </c>
      <c r="E79" s="11">
        <v>161260000</v>
      </c>
      <c r="F79" s="11">
        <v>203829000</v>
      </c>
      <c r="G79" s="11">
        <v>251936000</v>
      </c>
      <c r="H79" s="11">
        <v>328271000</v>
      </c>
      <c r="I79" s="11">
        <v>322088000</v>
      </c>
      <c r="J79" s="11">
        <v>318632000</v>
      </c>
    </row>
    <row r="80" spans="1:10" x14ac:dyDescent="0.25">
      <c r="A80" s="10" t="s">
        <v>74</v>
      </c>
      <c r="B80" s="9">
        <v>138395000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</row>
    <row r="81" spans="1:10" x14ac:dyDescent="0.25">
      <c r="A81" s="10" t="s">
        <v>75</v>
      </c>
      <c r="B81" s="9">
        <v>0</v>
      </c>
      <c r="C81" s="9">
        <v>184306000</v>
      </c>
      <c r="D81" s="9">
        <v>161912000</v>
      </c>
      <c r="E81" s="9">
        <v>161260000</v>
      </c>
      <c r="F81" s="9">
        <v>203829000</v>
      </c>
      <c r="G81" s="9">
        <v>251936000</v>
      </c>
      <c r="H81" s="9">
        <v>328271000</v>
      </c>
      <c r="I81" s="9">
        <v>322088000</v>
      </c>
      <c r="J81" s="9">
        <v>318632000</v>
      </c>
    </row>
    <row r="82" spans="1:10" x14ac:dyDescent="0.25">
      <c r="A82" s="8" t="s">
        <v>76</v>
      </c>
      <c r="B82" s="11">
        <v>598033000</v>
      </c>
      <c r="C82" s="11">
        <v>630470000</v>
      </c>
      <c r="D82" s="11">
        <v>818663000</v>
      </c>
      <c r="E82" s="11">
        <v>936491000</v>
      </c>
      <c r="F82" s="11">
        <v>856084000</v>
      </c>
      <c r="G82" s="11">
        <v>1056299000</v>
      </c>
      <c r="H82" s="11">
        <v>1316903000</v>
      </c>
      <c r="I82" s="11">
        <v>1126821000</v>
      </c>
      <c r="J82" s="11">
        <v>1463594000</v>
      </c>
    </row>
    <row r="83" spans="1:10" x14ac:dyDescent="0.25">
      <c r="A83" s="10" t="s">
        <v>77</v>
      </c>
      <c r="B83" s="9">
        <v>184841000</v>
      </c>
      <c r="C83" s="9">
        <v>120685000</v>
      </c>
      <c r="D83" s="9">
        <v>212254000</v>
      </c>
      <c r="E83" s="9">
        <v>56712000</v>
      </c>
      <c r="F83" s="9">
        <v>100981000</v>
      </c>
      <c r="G83" s="9">
        <v>158633000</v>
      </c>
      <c r="H83" s="9">
        <v>194036000</v>
      </c>
      <c r="I83" s="9">
        <v>149658000</v>
      </c>
      <c r="J83" s="9">
        <v>194509000</v>
      </c>
    </row>
    <row r="84" spans="1:10" x14ac:dyDescent="0.25">
      <c r="A84" s="10" t="s">
        <v>78</v>
      </c>
      <c r="B84" s="9">
        <v>413192000</v>
      </c>
      <c r="C84" s="9">
        <v>509785000</v>
      </c>
      <c r="D84" s="9">
        <v>606409000</v>
      </c>
      <c r="E84" s="9">
        <v>879779000</v>
      </c>
      <c r="F84" s="9">
        <v>755103000</v>
      </c>
      <c r="G84" s="9">
        <v>897666000</v>
      </c>
      <c r="H84" s="9">
        <v>1122867000</v>
      </c>
      <c r="I84" s="9">
        <v>977163000</v>
      </c>
      <c r="J84" s="9">
        <v>1269085000</v>
      </c>
    </row>
    <row r="85" spans="1:10" x14ac:dyDescent="0.25">
      <c r="A85" s="8" t="s">
        <v>79</v>
      </c>
      <c r="B85" s="11">
        <v>64251000</v>
      </c>
      <c r="C85" s="11">
        <v>81486000</v>
      </c>
      <c r="D85" s="11">
        <v>55792000</v>
      </c>
      <c r="E85" s="11">
        <v>55897000</v>
      </c>
      <c r="F85" s="11">
        <v>77103000</v>
      </c>
      <c r="G85" s="11">
        <v>133550000</v>
      </c>
      <c r="H85" s="11">
        <v>121901000</v>
      </c>
      <c r="I85" s="11">
        <v>121060000</v>
      </c>
      <c r="J85" s="11">
        <v>90868000</v>
      </c>
    </row>
    <row r="86" spans="1:10" x14ac:dyDescent="0.25">
      <c r="A86" s="10" t="s">
        <v>80</v>
      </c>
      <c r="B86" s="9">
        <v>64251000</v>
      </c>
      <c r="C86" s="14" t="s">
        <v>14</v>
      </c>
      <c r="D86" s="14" t="s">
        <v>14</v>
      </c>
      <c r="E86" s="14" t="s">
        <v>14</v>
      </c>
      <c r="F86" s="14" t="s">
        <v>14</v>
      </c>
      <c r="G86" s="14" t="s">
        <v>14</v>
      </c>
      <c r="H86" s="14" t="s">
        <v>14</v>
      </c>
      <c r="I86" s="14" t="s">
        <v>14</v>
      </c>
      <c r="J86" s="14" t="s">
        <v>14</v>
      </c>
    </row>
    <row r="87" spans="1:10" x14ac:dyDescent="0.25">
      <c r="A87" s="12" t="s">
        <v>81</v>
      </c>
      <c r="B87" s="7">
        <v>0</v>
      </c>
      <c r="C87" s="5" t="s">
        <v>14</v>
      </c>
      <c r="D87" s="5" t="s">
        <v>14</v>
      </c>
      <c r="E87" s="5" t="s">
        <v>14</v>
      </c>
      <c r="F87" s="5" t="s">
        <v>14</v>
      </c>
      <c r="G87" s="5" t="s">
        <v>14</v>
      </c>
      <c r="H87" s="5" t="s">
        <v>14</v>
      </c>
      <c r="I87" s="5" t="s">
        <v>14</v>
      </c>
      <c r="J87" s="5" t="s">
        <v>14</v>
      </c>
    </row>
    <row r="88" spans="1:10" x14ac:dyDescent="0.25">
      <c r="A88" s="12" t="s">
        <v>17</v>
      </c>
      <c r="B88" s="7">
        <v>64251000</v>
      </c>
      <c r="C88" s="5" t="s">
        <v>14</v>
      </c>
      <c r="D88" s="5" t="s">
        <v>14</v>
      </c>
      <c r="E88" s="5" t="s">
        <v>14</v>
      </c>
      <c r="F88" s="5" t="s">
        <v>14</v>
      </c>
      <c r="G88" s="5" t="s">
        <v>14</v>
      </c>
      <c r="H88" s="5" t="s">
        <v>14</v>
      </c>
      <c r="I88" s="5" t="s">
        <v>14</v>
      </c>
      <c r="J88" s="5" t="s">
        <v>14</v>
      </c>
    </row>
    <row r="89" spans="1:10" x14ac:dyDescent="0.25">
      <c r="A89" s="10" t="s">
        <v>82</v>
      </c>
      <c r="B89" s="9">
        <v>0</v>
      </c>
      <c r="C89" s="14" t="s">
        <v>14</v>
      </c>
      <c r="D89" s="14" t="s">
        <v>14</v>
      </c>
      <c r="E89" s="14" t="s">
        <v>14</v>
      </c>
      <c r="F89" s="14" t="s">
        <v>14</v>
      </c>
      <c r="G89" s="14" t="s">
        <v>14</v>
      </c>
      <c r="H89" s="14" t="s">
        <v>14</v>
      </c>
      <c r="I89" s="14" t="s">
        <v>14</v>
      </c>
      <c r="J89" s="14" t="s">
        <v>14</v>
      </c>
    </row>
    <row r="90" spans="1:10" x14ac:dyDescent="0.25">
      <c r="A90" s="10" t="s">
        <v>83</v>
      </c>
      <c r="B90" s="9">
        <v>0</v>
      </c>
      <c r="C90" s="14" t="s">
        <v>14</v>
      </c>
      <c r="D90" s="14" t="s">
        <v>14</v>
      </c>
      <c r="E90" s="14" t="s">
        <v>14</v>
      </c>
      <c r="F90" s="14" t="s">
        <v>14</v>
      </c>
      <c r="G90" s="14" t="s">
        <v>14</v>
      </c>
      <c r="H90" s="14" t="s">
        <v>14</v>
      </c>
      <c r="I90" s="14" t="s">
        <v>14</v>
      </c>
      <c r="J90" s="14" t="s">
        <v>14</v>
      </c>
    </row>
    <row r="91" spans="1:10" x14ac:dyDescent="0.25">
      <c r="A91" s="8" t="s">
        <v>84</v>
      </c>
      <c r="B91" s="11">
        <v>813129000</v>
      </c>
      <c r="C91" s="11">
        <v>712303000</v>
      </c>
      <c r="D91" s="11">
        <v>1071044000</v>
      </c>
      <c r="E91" s="11">
        <v>1684702000</v>
      </c>
      <c r="F91" s="11">
        <v>1182808000</v>
      </c>
      <c r="G91" s="11">
        <v>1352544000</v>
      </c>
      <c r="H91" s="11">
        <v>1076149000</v>
      </c>
      <c r="I91" s="11">
        <v>648697000</v>
      </c>
      <c r="J91" s="11">
        <v>1907564000</v>
      </c>
    </row>
    <row r="92" spans="1:10" x14ac:dyDescent="0.25">
      <c r="A92" s="10" t="s">
        <v>85</v>
      </c>
      <c r="B92" s="9">
        <v>813129000</v>
      </c>
      <c r="C92" s="9">
        <v>671734000</v>
      </c>
      <c r="D92" s="9">
        <v>1034604000</v>
      </c>
      <c r="E92" s="9">
        <v>1549711000</v>
      </c>
      <c r="F92" s="9">
        <v>1166877000</v>
      </c>
      <c r="G92" s="9">
        <v>1110559000</v>
      </c>
      <c r="H92" s="9">
        <v>912955000</v>
      </c>
      <c r="I92" s="9">
        <v>629300000</v>
      </c>
      <c r="J92" s="9">
        <v>1907613000</v>
      </c>
    </row>
    <row r="93" spans="1:10" x14ac:dyDescent="0.25">
      <c r="A93" s="12" t="s">
        <v>86</v>
      </c>
      <c r="B93" s="7">
        <v>286326000</v>
      </c>
      <c r="C93" s="7">
        <v>19515000</v>
      </c>
      <c r="D93" s="7">
        <v>287850000</v>
      </c>
      <c r="E93" s="7">
        <v>324278000</v>
      </c>
      <c r="F93" s="7">
        <v>487979000</v>
      </c>
      <c r="G93" s="7">
        <v>132919000</v>
      </c>
      <c r="H93" s="7">
        <v>13930000</v>
      </c>
      <c r="I93" s="7">
        <v>4955000</v>
      </c>
      <c r="J93" s="7">
        <v>1089094000</v>
      </c>
    </row>
    <row r="94" spans="1:10" x14ac:dyDescent="0.25">
      <c r="A94" s="12" t="s">
        <v>87</v>
      </c>
      <c r="B94" s="7">
        <v>526803000</v>
      </c>
      <c r="C94" s="7">
        <v>652219000</v>
      </c>
      <c r="D94" s="7">
        <v>746754000</v>
      </c>
      <c r="E94" s="7">
        <v>1225433000</v>
      </c>
      <c r="F94" s="7">
        <v>678898000</v>
      </c>
      <c r="G94" s="7">
        <v>977640000</v>
      </c>
      <c r="H94" s="7">
        <v>899025000</v>
      </c>
      <c r="I94" s="7">
        <v>624345000</v>
      </c>
      <c r="J94" s="7">
        <v>818519000</v>
      </c>
    </row>
    <row r="95" spans="1:10" x14ac:dyDescent="0.25">
      <c r="A95" s="10" t="s">
        <v>88</v>
      </c>
      <c r="B95" s="9">
        <v>0</v>
      </c>
      <c r="C95" s="9">
        <v>40569000</v>
      </c>
      <c r="D95" s="9">
        <v>36440000</v>
      </c>
      <c r="E95" s="9">
        <v>134991000</v>
      </c>
      <c r="F95" s="9">
        <v>15931000</v>
      </c>
      <c r="G95" s="9">
        <v>241985000</v>
      </c>
      <c r="H95" s="9">
        <v>163194000</v>
      </c>
      <c r="I95" s="9">
        <v>19397000</v>
      </c>
      <c r="J95" s="9">
        <v>-49000</v>
      </c>
    </row>
    <row r="96" spans="1:10" x14ac:dyDescent="0.25">
      <c r="A96" s="10" t="s">
        <v>89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</row>
    <row r="97" spans="1:10" x14ac:dyDescent="0.25">
      <c r="A97" s="8" t="s">
        <v>90</v>
      </c>
      <c r="B97" s="11">
        <v>194934000</v>
      </c>
      <c r="C97" s="11">
        <v>225586000</v>
      </c>
      <c r="D97" s="11">
        <v>130391000</v>
      </c>
      <c r="E97" s="11">
        <v>250400000</v>
      </c>
      <c r="F97" s="11">
        <v>201895000</v>
      </c>
      <c r="G97" s="11">
        <v>266525000</v>
      </c>
      <c r="H97" s="11">
        <v>418605000</v>
      </c>
      <c r="I97" s="11">
        <v>364952000</v>
      </c>
      <c r="J97" s="11">
        <v>571793000</v>
      </c>
    </row>
    <row r="98" spans="1:10" x14ac:dyDescent="0.25">
      <c r="A98" s="10" t="s">
        <v>91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</row>
    <row r="99" spans="1:10" x14ac:dyDescent="0.25">
      <c r="A99" s="12" t="s">
        <v>92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x14ac:dyDescent="0.25">
      <c r="A100" s="12" t="s">
        <v>93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x14ac:dyDescent="0.25">
      <c r="A101" s="12" t="s">
        <v>94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x14ac:dyDescent="0.25">
      <c r="A102" s="12" t="s">
        <v>95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x14ac:dyDescent="0.25">
      <c r="A103" s="10" t="s">
        <v>96</v>
      </c>
      <c r="B103" s="9">
        <v>194934000</v>
      </c>
      <c r="C103" s="9">
        <v>225586000</v>
      </c>
      <c r="D103" s="9">
        <v>130391000</v>
      </c>
      <c r="E103" s="9">
        <v>250400000</v>
      </c>
      <c r="F103" s="9">
        <v>201895000</v>
      </c>
      <c r="G103" s="9">
        <v>266525000</v>
      </c>
      <c r="H103" s="9">
        <v>418605000</v>
      </c>
      <c r="I103" s="9">
        <v>364952000</v>
      </c>
      <c r="J103" s="9">
        <v>571793000</v>
      </c>
    </row>
    <row r="104" spans="1:10" x14ac:dyDescent="0.25">
      <c r="A104" s="12" t="s">
        <v>97</v>
      </c>
      <c r="B104" s="7">
        <v>25738000</v>
      </c>
      <c r="C104" s="7">
        <v>76145000</v>
      </c>
      <c r="D104" s="7">
        <v>31306000</v>
      </c>
      <c r="E104" s="7">
        <v>21166000</v>
      </c>
      <c r="F104" s="7">
        <v>10751000</v>
      </c>
      <c r="G104" s="7">
        <v>5436000</v>
      </c>
      <c r="H104" s="7">
        <v>99199000</v>
      </c>
      <c r="I104" s="7">
        <v>127147000</v>
      </c>
      <c r="J104" s="7">
        <v>89731000</v>
      </c>
    </row>
    <row r="105" spans="1:10" x14ac:dyDescent="0.25">
      <c r="A105" s="12" t="s">
        <v>98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x14ac:dyDescent="0.25">
      <c r="A106" s="12" t="s">
        <v>99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 x14ac:dyDescent="0.25">
      <c r="A107" s="12" t="s">
        <v>17</v>
      </c>
      <c r="B107" s="7">
        <v>169196000</v>
      </c>
      <c r="C107" s="7">
        <v>149441000</v>
      </c>
      <c r="D107" s="7">
        <v>99085000</v>
      </c>
      <c r="E107" s="7">
        <v>229234000</v>
      </c>
      <c r="F107" s="7">
        <v>191144000</v>
      </c>
      <c r="G107" s="7">
        <v>261089000</v>
      </c>
      <c r="H107" s="7">
        <v>319406000</v>
      </c>
      <c r="I107" s="7">
        <v>237805000</v>
      </c>
      <c r="J107" s="7">
        <v>482062000</v>
      </c>
    </row>
    <row r="108" spans="1:10" x14ac:dyDescent="0.25">
      <c r="A108" s="8" t="s">
        <v>100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</row>
    <row r="109" spans="1:10" x14ac:dyDescent="0.25">
      <c r="A109" s="10" t="s">
        <v>101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</row>
    <row r="110" spans="1:10" x14ac:dyDescent="0.25">
      <c r="A110" s="12" t="s">
        <v>102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1:10" x14ac:dyDescent="0.25">
      <c r="A111" s="12" t="s">
        <v>103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 x14ac:dyDescent="0.25">
      <c r="A112" s="12" t="s">
        <v>104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</row>
    <row r="113" spans="1:10" x14ac:dyDescent="0.25">
      <c r="A113" s="12" t="s">
        <v>105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x14ac:dyDescent="0.25">
      <c r="A114" s="12" t="s">
        <v>17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</row>
    <row r="115" spans="1:10" x14ac:dyDescent="0.25">
      <c r="A115" s="10" t="s">
        <v>106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25">
      <c r="A116" s="12" t="s">
        <v>107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 x14ac:dyDescent="0.25">
      <c r="A117" s="12" t="s">
        <v>108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 x14ac:dyDescent="0.25">
      <c r="A118" s="12" t="s">
        <v>109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</row>
    <row r="119" spans="1:10" x14ac:dyDescent="0.25">
      <c r="A119" s="12" t="s">
        <v>17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x14ac:dyDescent="0.25">
      <c r="A120" s="8" t="s">
        <v>110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</row>
    <row r="121" spans="1:10" x14ac:dyDescent="0.25">
      <c r="A121" s="10" t="s">
        <v>111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</row>
    <row r="122" spans="1:10" x14ac:dyDescent="0.25">
      <c r="A122" s="10" t="s">
        <v>112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</row>
    <row r="123" spans="1:10" x14ac:dyDescent="0.25">
      <c r="A123" s="6" t="s">
        <v>113</v>
      </c>
      <c r="B123" s="9">
        <v>2885930000</v>
      </c>
      <c r="C123" s="9">
        <v>2756394000</v>
      </c>
      <c r="D123" s="9">
        <v>2446719000</v>
      </c>
      <c r="E123" s="9">
        <v>2445139000</v>
      </c>
      <c r="F123" s="9">
        <v>2518319000</v>
      </c>
      <c r="G123" s="9">
        <v>2230889000</v>
      </c>
      <c r="H123" s="9">
        <v>2558834000</v>
      </c>
      <c r="I123" s="9">
        <v>3294817000</v>
      </c>
      <c r="J123" s="9">
        <v>4256591000</v>
      </c>
    </row>
    <row r="124" spans="1:10" x14ac:dyDescent="0.25">
      <c r="A124" s="8" t="s">
        <v>114</v>
      </c>
      <c r="B124" s="11">
        <v>2187776000</v>
      </c>
      <c r="C124" s="11">
        <v>2061181000</v>
      </c>
      <c r="D124" s="11">
        <v>1821362000</v>
      </c>
      <c r="E124" s="11">
        <v>1730153000</v>
      </c>
      <c r="F124" s="11">
        <v>1877277000</v>
      </c>
      <c r="G124" s="11">
        <v>1490732000</v>
      </c>
      <c r="H124" s="11">
        <v>1737556000</v>
      </c>
      <c r="I124" s="11">
        <v>2412886000</v>
      </c>
      <c r="J124" s="11">
        <v>3212825000</v>
      </c>
    </row>
    <row r="125" spans="1:10" x14ac:dyDescent="0.25">
      <c r="A125" s="10" t="s">
        <v>115</v>
      </c>
      <c r="B125" s="9">
        <v>2187776000</v>
      </c>
      <c r="C125" s="9">
        <v>842457000</v>
      </c>
      <c r="D125" s="9">
        <v>648484000</v>
      </c>
      <c r="E125" s="9">
        <v>675738000</v>
      </c>
      <c r="F125" s="9">
        <v>1381843000</v>
      </c>
      <c r="G125" s="9">
        <v>1333735000</v>
      </c>
      <c r="H125" s="9">
        <v>1291758000</v>
      </c>
      <c r="I125" s="9">
        <v>1173173000</v>
      </c>
      <c r="J125" s="9">
        <v>1983098000</v>
      </c>
    </row>
    <row r="126" spans="1:10" x14ac:dyDescent="0.25">
      <c r="A126" s="12" t="s">
        <v>116</v>
      </c>
      <c r="B126" s="7">
        <v>440978000</v>
      </c>
      <c r="C126" s="7">
        <v>408209000</v>
      </c>
      <c r="D126" s="7">
        <v>258394000</v>
      </c>
      <c r="E126" s="7">
        <v>168822000</v>
      </c>
      <c r="F126" s="7">
        <v>184455000</v>
      </c>
      <c r="G126" s="7">
        <v>33619000</v>
      </c>
      <c r="H126" s="7">
        <v>20007000</v>
      </c>
      <c r="I126" s="7">
        <v>4262000</v>
      </c>
      <c r="J126" s="7">
        <v>1421000</v>
      </c>
    </row>
    <row r="127" spans="1:10" x14ac:dyDescent="0.25">
      <c r="A127" s="12" t="s">
        <v>117</v>
      </c>
      <c r="B127" s="7">
        <v>1746798000</v>
      </c>
      <c r="C127" s="7">
        <v>434248000</v>
      </c>
      <c r="D127" s="7">
        <v>390090000</v>
      </c>
      <c r="E127" s="7">
        <v>506916000</v>
      </c>
      <c r="F127" s="7">
        <v>1197388000</v>
      </c>
      <c r="G127" s="7">
        <v>1300116000</v>
      </c>
      <c r="H127" s="7">
        <v>1271751000</v>
      </c>
      <c r="I127" s="7">
        <v>1168911000</v>
      </c>
      <c r="J127" s="7">
        <v>1981677000</v>
      </c>
    </row>
    <row r="128" spans="1:10" x14ac:dyDescent="0.25">
      <c r="A128" s="10" t="s">
        <v>118</v>
      </c>
      <c r="B128" s="9">
        <v>0</v>
      </c>
      <c r="C128" s="9">
        <v>1218724000</v>
      </c>
      <c r="D128" s="9">
        <v>1172878000</v>
      </c>
      <c r="E128" s="9">
        <v>1054415000</v>
      </c>
      <c r="F128" s="9">
        <v>495434000</v>
      </c>
      <c r="G128" s="9">
        <v>156997000</v>
      </c>
      <c r="H128" s="9">
        <v>445798000</v>
      </c>
      <c r="I128" s="9">
        <v>1239713000</v>
      </c>
      <c r="J128" s="9">
        <v>1229727000</v>
      </c>
    </row>
    <row r="129" spans="1:10" x14ac:dyDescent="0.25">
      <c r="A129" s="10" t="s">
        <v>119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</row>
    <row r="130" spans="1:10" x14ac:dyDescent="0.25">
      <c r="A130" s="8" t="s">
        <v>120</v>
      </c>
      <c r="B130" s="11">
        <v>103105000</v>
      </c>
      <c r="C130" s="11">
        <v>23514000</v>
      </c>
      <c r="D130" s="11">
        <v>49610000</v>
      </c>
      <c r="E130" s="11">
        <v>39346000</v>
      </c>
      <c r="F130" s="11">
        <v>24352000</v>
      </c>
      <c r="G130" s="11">
        <v>49227000</v>
      </c>
      <c r="H130" s="11">
        <v>45213000</v>
      </c>
      <c r="I130" s="11">
        <v>107698000</v>
      </c>
      <c r="J130" s="11">
        <v>87234000</v>
      </c>
    </row>
    <row r="131" spans="1:10" x14ac:dyDescent="0.25">
      <c r="A131" s="10" t="s">
        <v>121</v>
      </c>
      <c r="B131" s="9">
        <v>0</v>
      </c>
      <c r="C131" s="14" t="s">
        <v>14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</row>
    <row r="132" spans="1:10" x14ac:dyDescent="0.25">
      <c r="A132" s="12" t="s">
        <v>122</v>
      </c>
      <c r="B132" s="7">
        <v>0</v>
      </c>
      <c r="C132" s="5" t="s">
        <v>14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x14ac:dyDescent="0.25">
      <c r="A133" s="12" t="s">
        <v>123</v>
      </c>
      <c r="B133" s="7">
        <v>0</v>
      </c>
      <c r="C133" s="5" t="s">
        <v>14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x14ac:dyDescent="0.25">
      <c r="A134" s="12" t="s">
        <v>124</v>
      </c>
      <c r="B134" s="7">
        <v>0</v>
      </c>
      <c r="C134" s="5" t="s">
        <v>14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1:10" x14ac:dyDescent="0.25">
      <c r="A135" s="12" t="s">
        <v>125</v>
      </c>
      <c r="B135" s="7">
        <v>0</v>
      </c>
      <c r="C135" s="5" t="s">
        <v>14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 x14ac:dyDescent="0.25">
      <c r="A136" s="10" t="s">
        <v>126</v>
      </c>
      <c r="B136" s="9">
        <v>103105000</v>
      </c>
      <c r="C136" s="14" t="s">
        <v>14</v>
      </c>
      <c r="D136" s="9">
        <v>49610000</v>
      </c>
      <c r="E136" s="9">
        <v>39346000</v>
      </c>
      <c r="F136" s="9">
        <v>24352000</v>
      </c>
      <c r="G136" s="9">
        <v>49227000</v>
      </c>
      <c r="H136" s="9">
        <v>45213000</v>
      </c>
      <c r="I136" s="9">
        <v>107698000</v>
      </c>
      <c r="J136" s="9">
        <v>87234000</v>
      </c>
    </row>
    <row r="137" spans="1:10" x14ac:dyDescent="0.25">
      <c r="A137" s="12" t="s">
        <v>127</v>
      </c>
      <c r="B137" s="7">
        <v>0</v>
      </c>
      <c r="C137" s="5" t="s">
        <v>14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x14ac:dyDescent="0.25">
      <c r="A138" s="12" t="s">
        <v>128</v>
      </c>
      <c r="B138" s="7">
        <v>0</v>
      </c>
      <c r="C138" s="5" t="s">
        <v>14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x14ac:dyDescent="0.25">
      <c r="A139" s="12" t="s">
        <v>17</v>
      </c>
      <c r="B139" s="7">
        <v>103105000</v>
      </c>
      <c r="C139" s="5" t="s">
        <v>14</v>
      </c>
      <c r="D139" s="7">
        <v>49610000</v>
      </c>
      <c r="E139" s="7">
        <v>39346000</v>
      </c>
      <c r="F139" s="7">
        <v>24352000</v>
      </c>
      <c r="G139" s="7">
        <v>49227000</v>
      </c>
      <c r="H139" s="7">
        <v>45213000</v>
      </c>
      <c r="I139" s="7">
        <v>107698000</v>
      </c>
      <c r="J139" s="7">
        <v>87234000</v>
      </c>
    </row>
    <row r="140" spans="1:10" x14ac:dyDescent="0.25">
      <c r="A140" s="8" t="s">
        <v>129</v>
      </c>
      <c r="B140" s="11">
        <v>188872000</v>
      </c>
      <c r="C140" s="11">
        <v>240637000</v>
      </c>
      <c r="D140" s="11">
        <v>176374000</v>
      </c>
      <c r="E140" s="11">
        <v>164662000</v>
      </c>
      <c r="F140" s="11">
        <v>162883000</v>
      </c>
      <c r="G140" s="11">
        <v>169030000</v>
      </c>
      <c r="H140" s="11">
        <v>199862000</v>
      </c>
      <c r="I140" s="11">
        <v>174548000</v>
      </c>
      <c r="J140" s="11">
        <v>175180000</v>
      </c>
    </row>
    <row r="141" spans="1:10" x14ac:dyDescent="0.25">
      <c r="A141" s="10" t="s">
        <v>130</v>
      </c>
      <c r="B141" s="9">
        <v>188872000</v>
      </c>
      <c r="C141" s="9">
        <v>240637000</v>
      </c>
      <c r="D141" s="9">
        <v>176374000</v>
      </c>
      <c r="E141" s="9">
        <v>164662000</v>
      </c>
      <c r="F141" s="9">
        <v>162883000</v>
      </c>
      <c r="G141" s="9">
        <v>169030000</v>
      </c>
      <c r="H141" s="9">
        <v>199862000</v>
      </c>
      <c r="I141" s="9">
        <v>174548000</v>
      </c>
      <c r="J141" s="9">
        <v>175180000</v>
      </c>
    </row>
    <row r="142" spans="1:10" x14ac:dyDescent="0.25">
      <c r="A142" s="8" t="s">
        <v>131</v>
      </c>
      <c r="B142" s="11">
        <v>406177000</v>
      </c>
      <c r="C142" s="11">
        <v>431062000</v>
      </c>
      <c r="D142" s="11">
        <v>399373000</v>
      </c>
      <c r="E142" s="11">
        <v>510978000</v>
      </c>
      <c r="F142" s="11">
        <v>453807000</v>
      </c>
      <c r="G142" s="11">
        <v>521900000</v>
      </c>
      <c r="H142" s="11">
        <v>576203000</v>
      </c>
      <c r="I142" s="11">
        <v>599685000</v>
      </c>
      <c r="J142" s="11">
        <v>781352000</v>
      </c>
    </row>
    <row r="143" spans="1:10" x14ac:dyDescent="0.25">
      <c r="A143" s="10" t="s">
        <v>132</v>
      </c>
      <c r="B143" s="9">
        <v>77572000</v>
      </c>
      <c r="C143" s="9">
        <v>48108000</v>
      </c>
      <c r="D143" s="9">
        <v>26225000</v>
      </c>
      <c r="E143" s="9">
        <v>48679000</v>
      </c>
      <c r="F143" s="9">
        <v>70650000</v>
      </c>
      <c r="G143" s="9">
        <v>100663000</v>
      </c>
      <c r="H143" s="9">
        <v>105150000</v>
      </c>
      <c r="I143" s="9">
        <v>83753000</v>
      </c>
      <c r="J143" s="9">
        <v>79423000</v>
      </c>
    </row>
    <row r="144" spans="1:10" x14ac:dyDescent="0.25">
      <c r="A144" s="12" t="s">
        <v>133</v>
      </c>
      <c r="B144" s="7">
        <v>8123000</v>
      </c>
      <c r="C144" s="7">
        <v>5453000</v>
      </c>
      <c r="D144" s="7">
        <v>5781000</v>
      </c>
      <c r="E144" s="7">
        <v>21174000</v>
      </c>
      <c r="F144" s="7">
        <v>36380000</v>
      </c>
      <c r="G144" s="7">
        <v>39362000</v>
      </c>
      <c r="H144" s="7">
        <v>51393000</v>
      </c>
      <c r="I144" s="7">
        <v>50594000</v>
      </c>
      <c r="J144" s="7">
        <v>53452000</v>
      </c>
    </row>
    <row r="145" spans="1:10" x14ac:dyDescent="0.25">
      <c r="A145" s="12" t="s">
        <v>134</v>
      </c>
      <c r="B145" s="7">
        <v>21960000</v>
      </c>
      <c r="C145" s="7">
        <v>8758000</v>
      </c>
      <c r="D145" s="7">
        <v>8919000</v>
      </c>
      <c r="E145" s="7">
        <v>16140000</v>
      </c>
      <c r="F145" s="7">
        <v>23308000</v>
      </c>
      <c r="G145" s="7">
        <v>44983000</v>
      </c>
      <c r="H145" s="7">
        <v>39767000</v>
      </c>
      <c r="I145" s="7">
        <v>28628000</v>
      </c>
      <c r="J145" s="7">
        <v>21217000</v>
      </c>
    </row>
    <row r="146" spans="1:10" x14ac:dyDescent="0.25">
      <c r="A146" s="12" t="s">
        <v>135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1:10" x14ac:dyDescent="0.25">
      <c r="A147" s="12" t="s">
        <v>136</v>
      </c>
      <c r="B147" s="7">
        <v>8662000</v>
      </c>
      <c r="C147" s="7">
        <v>12276000</v>
      </c>
      <c r="D147" s="7">
        <v>11525000</v>
      </c>
      <c r="E147" s="7">
        <v>11365000</v>
      </c>
      <c r="F147" s="7">
        <v>10962000</v>
      </c>
      <c r="G147" s="7">
        <v>16318000</v>
      </c>
      <c r="H147" s="7">
        <v>13990000</v>
      </c>
      <c r="I147" s="7">
        <v>4531000</v>
      </c>
      <c r="J147" s="7">
        <v>4754000</v>
      </c>
    </row>
    <row r="148" spans="1:10" x14ac:dyDescent="0.25">
      <c r="A148" s="12" t="s">
        <v>17</v>
      </c>
      <c r="B148" s="7">
        <v>38827000</v>
      </c>
      <c r="C148" s="7">
        <v>21621000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 x14ac:dyDescent="0.25">
      <c r="A149" s="10" t="s">
        <v>137</v>
      </c>
      <c r="B149" s="9">
        <v>328605000</v>
      </c>
      <c r="C149" s="9">
        <v>382954000</v>
      </c>
      <c r="D149" s="9">
        <v>373148000</v>
      </c>
      <c r="E149" s="9">
        <v>462299000</v>
      </c>
      <c r="F149" s="9">
        <v>383157000</v>
      </c>
      <c r="G149" s="9">
        <v>421237000</v>
      </c>
      <c r="H149" s="9">
        <v>471053000</v>
      </c>
      <c r="I149" s="9">
        <v>515932000</v>
      </c>
      <c r="J149" s="9">
        <v>701929000</v>
      </c>
    </row>
    <row r="150" spans="1:10" x14ac:dyDescent="0.25">
      <c r="A150" s="12" t="s">
        <v>138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</row>
    <row r="151" spans="1:10" x14ac:dyDescent="0.25">
      <c r="A151" s="12" t="s">
        <v>139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 x14ac:dyDescent="0.25">
      <c r="A152" s="12" t="s">
        <v>140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x14ac:dyDescent="0.25">
      <c r="A153" s="12" t="s">
        <v>17</v>
      </c>
      <c r="B153" s="7">
        <v>328605000</v>
      </c>
      <c r="C153" s="7">
        <v>382954000</v>
      </c>
      <c r="D153" s="7">
        <v>373148000</v>
      </c>
      <c r="E153" s="7">
        <v>462299000</v>
      </c>
      <c r="F153" s="7">
        <v>383157000</v>
      </c>
      <c r="G153" s="7">
        <v>421237000</v>
      </c>
      <c r="H153" s="7">
        <v>471053000</v>
      </c>
      <c r="I153" s="7">
        <v>515932000</v>
      </c>
      <c r="J153" s="7">
        <v>701929000</v>
      </c>
    </row>
    <row r="154" spans="1:10" x14ac:dyDescent="0.25">
      <c r="A154" s="8" t="s">
        <v>141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</row>
    <row r="155" spans="1:10" x14ac:dyDescent="0.25">
      <c r="A155" s="10" t="s">
        <v>142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</row>
    <row r="156" spans="1:10" x14ac:dyDescent="0.25">
      <c r="A156" s="10" t="s">
        <v>143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</row>
    <row r="157" spans="1:10" x14ac:dyDescent="0.25">
      <c r="A157" s="8" t="s">
        <v>144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</row>
    <row r="158" spans="1:10" x14ac:dyDescent="0.25">
      <c r="A158" s="10" t="s">
        <v>145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</row>
    <row r="159" spans="1:10" x14ac:dyDescent="0.25">
      <c r="A159" s="10" t="s">
        <v>146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</row>
    <row r="160" spans="1:10" x14ac:dyDescent="0.25">
      <c r="A160" s="10" t="s">
        <v>147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</row>
    <row r="161" spans="1:10" x14ac:dyDescent="0.25">
      <c r="A161" s="6" t="s">
        <v>148</v>
      </c>
      <c r="B161" s="9">
        <v>1090910000</v>
      </c>
      <c r="C161" s="9">
        <v>1445160000</v>
      </c>
      <c r="D161" s="9">
        <v>1604503000</v>
      </c>
      <c r="E161" s="9">
        <v>2456490000</v>
      </c>
      <c r="F161" s="9">
        <v>2017077000</v>
      </c>
      <c r="G161" s="9">
        <v>2630505000</v>
      </c>
      <c r="H161" s="9">
        <v>3198527000</v>
      </c>
      <c r="I161" s="9">
        <v>3496976000</v>
      </c>
      <c r="J161" s="9">
        <v>3802761000</v>
      </c>
    </row>
    <row r="162" spans="1:10" x14ac:dyDescent="0.25">
      <c r="A162" s="8" t="s">
        <v>149</v>
      </c>
      <c r="B162" s="11">
        <v>177872000</v>
      </c>
      <c r="C162" s="11">
        <v>224079000</v>
      </c>
      <c r="D162" s="11">
        <v>221109000</v>
      </c>
      <c r="E162" s="11">
        <v>303043000</v>
      </c>
      <c r="F162" s="11">
        <v>233092000</v>
      </c>
      <c r="G162" s="11">
        <v>242652000</v>
      </c>
      <c r="H162" s="11">
        <v>276577000</v>
      </c>
      <c r="I162" s="11">
        <v>268498000</v>
      </c>
      <c r="J162" s="11">
        <v>340476000</v>
      </c>
    </row>
    <row r="163" spans="1:10" x14ac:dyDescent="0.25">
      <c r="A163" s="8" t="s">
        <v>150</v>
      </c>
      <c r="B163" s="11">
        <v>913038000</v>
      </c>
      <c r="C163" s="11">
        <v>1221081000</v>
      </c>
      <c r="D163" s="11">
        <v>1383394000</v>
      </c>
      <c r="E163" s="11">
        <v>2153447000</v>
      </c>
      <c r="F163" s="11">
        <v>1783985000</v>
      </c>
      <c r="G163" s="11">
        <v>2387853000</v>
      </c>
      <c r="H163" s="11">
        <v>2921950000</v>
      </c>
      <c r="I163" s="11">
        <v>3228478000</v>
      </c>
      <c r="J163" s="11">
        <v>3462285000</v>
      </c>
    </row>
    <row r="164" spans="1:10" x14ac:dyDescent="0.25">
      <c r="A164" s="10" t="s">
        <v>151</v>
      </c>
      <c r="B164" s="9">
        <v>650000000</v>
      </c>
      <c r="C164" s="9">
        <v>700000000</v>
      </c>
      <c r="D164" s="9">
        <v>700000000</v>
      </c>
      <c r="E164" s="9">
        <v>700000000</v>
      </c>
      <c r="F164" s="9">
        <v>700000000</v>
      </c>
      <c r="G164" s="9">
        <v>1277398000</v>
      </c>
      <c r="H164" s="9">
        <v>1407536000</v>
      </c>
      <c r="I164" s="9">
        <v>1576954000</v>
      </c>
      <c r="J164" s="9">
        <v>1576954000</v>
      </c>
    </row>
    <row r="165" spans="1:10" x14ac:dyDescent="0.25">
      <c r="A165" s="10" t="s">
        <v>152</v>
      </c>
      <c r="B165" s="9">
        <v>-3487000</v>
      </c>
      <c r="C165" s="9">
        <v>-2858000</v>
      </c>
      <c r="D165" s="9">
        <v>-3022000</v>
      </c>
      <c r="E165" s="9">
        <v>-2959000</v>
      </c>
      <c r="F165" s="9">
        <v>-5008000</v>
      </c>
      <c r="G165" s="9">
        <v>-11547000</v>
      </c>
      <c r="H165" s="9">
        <v>104068000</v>
      </c>
      <c r="I165" s="9">
        <v>-19849000</v>
      </c>
      <c r="J165" s="9">
        <v>-13366000</v>
      </c>
    </row>
    <row r="166" spans="1:10" x14ac:dyDescent="0.25">
      <c r="A166" s="12" t="s">
        <v>153</v>
      </c>
      <c r="B166" s="7">
        <v>149000</v>
      </c>
      <c r="C166" s="7">
        <v>269000</v>
      </c>
      <c r="D166" s="7">
        <v>300000</v>
      </c>
      <c r="E166" s="7">
        <v>300000</v>
      </c>
      <c r="F166" s="7">
        <v>300000</v>
      </c>
      <c r="G166" s="7">
        <v>0</v>
      </c>
      <c r="H166" s="7">
        <v>0</v>
      </c>
      <c r="I166" s="7">
        <v>0</v>
      </c>
      <c r="J166" s="7">
        <v>0</v>
      </c>
    </row>
    <row r="167" spans="1:10" x14ac:dyDescent="0.25">
      <c r="A167" s="12" t="s">
        <v>154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x14ac:dyDescent="0.25">
      <c r="A168" s="12" t="s">
        <v>155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</row>
    <row r="169" spans="1:10" x14ac:dyDescent="0.25">
      <c r="A169" s="12" t="s">
        <v>156</v>
      </c>
      <c r="B169" s="7">
        <v>2920000</v>
      </c>
      <c r="C169" s="7">
        <v>2814000</v>
      </c>
      <c r="D169" s="7">
        <v>2783000</v>
      </c>
      <c r="E169" s="7">
        <v>2783000</v>
      </c>
      <c r="F169" s="7">
        <v>2783000</v>
      </c>
      <c r="G169" s="7">
        <v>3080000</v>
      </c>
      <c r="H169" s="7">
        <v>3084000</v>
      </c>
      <c r="I169" s="7">
        <v>3071000</v>
      </c>
      <c r="J169" s="7">
        <v>3061000</v>
      </c>
    </row>
    <row r="170" spans="1:10" x14ac:dyDescent="0.25">
      <c r="A170" s="12" t="s">
        <v>157</v>
      </c>
      <c r="B170" s="7">
        <v>-6556000</v>
      </c>
      <c r="C170" s="7">
        <v>-5941000</v>
      </c>
      <c r="D170" s="7">
        <v>-6105000</v>
      </c>
      <c r="E170" s="7">
        <v>-6042000</v>
      </c>
      <c r="F170" s="7">
        <v>-8091000</v>
      </c>
      <c r="G170" s="7">
        <v>-12880000</v>
      </c>
      <c r="H170" s="7">
        <v>-26022000</v>
      </c>
      <c r="I170" s="7">
        <v>-28920000</v>
      </c>
      <c r="J170" s="7">
        <v>-28894000</v>
      </c>
    </row>
    <row r="171" spans="1:10" x14ac:dyDescent="0.25">
      <c r="A171" s="12" t="s">
        <v>158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</row>
    <row r="172" spans="1:10" x14ac:dyDescent="0.25">
      <c r="A172" s="12" t="s">
        <v>17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-1747000</v>
      </c>
      <c r="H172" s="7">
        <v>127006000</v>
      </c>
      <c r="I172" s="7">
        <v>6000000</v>
      </c>
      <c r="J172" s="7">
        <v>12467000</v>
      </c>
    </row>
    <row r="173" spans="1:10" x14ac:dyDescent="0.25">
      <c r="A173" s="10" t="s">
        <v>159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</row>
    <row r="174" spans="1:10" x14ac:dyDescent="0.25">
      <c r="A174" s="10" t="s">
        <v>160</v>
      </c>
      <c r="B174" s="9">
        <v>138417000</v>
      </c>
      <c r="C174" s="9">
        <v>207812000</v>
      </c>
      <c r="D174" s="9">
        <v>256546000</v>
      </c>
      <c r="E174" s="9">
        <v>292107000</v>
      </c>
      <c r="F174" s="9">
        <v>309893000</v>
      </c>
      <c r="G174" s="9">
        <v>319033000</v>
      </c>
      <c r="H174" s="9">
        <v>393156000</v>
      </c>
      <c r="I174" s="9">
        <v>606530000</v>
      </c>
      <c r="J174" s="9">
        <v>120921000</v>
      </c>
    </row>
    <row r="175" spans="1:10" x14ac:dyDescent="0.25">
      <c r="A175" s="12" t="s">
        <v>161</v>
      </c>
      <c r="B175" s="7">
        <v>50087000</v>
      </c>
      <c r="C175" s="7">
        <v>60012000</v>
      </c>
      <c r="D175" s="7">
        <v>63880000</v>
      </c>
      <c r="E175" s="7">
        <v>66702000</v>
      </c>
      <c r="F175" s="7">
        <v>68114000</v>
      </c>
      <c r="G175" s="7">
        <v>68816000</v>
      </c>
      <c r="H175" s="7">
        <v>79510000</v>
      </c>
      <c r="I175" s="7">
        <v>96648000</v>
      </c>
      <c r="J175" s="7">
        <v>96648000</v>
      </c>
    </row>
    <row r="176" spans="1:10" x14ac:dyDescent="0.25">
      <c r="A176" s="12" t="s">
        <v>162</v>
      </c>
      <c r="B176" s="7">
        <v>88330000</v>
      </c>
      <c r="C176" s="7">
        <v>147800000</v>
      </c>
      <c r="D176" s="7">
        <v>192666000</v>
      </c>
      <c r="E176" s="7">
        <v>225405000</v>
      </c>
      <c r="F176" s="7">
        <v>241779000</v>
      </c>
      <c r="G176" s="7">
        <v>219166000</v>
      </c>
      <c r="H176" s="7">
        <v>313646000</v>
      </c>
      <c r="I176" s="7">
        <v>509882000</v>
      </c>
      <c r="J176" s="7">
        <v>24273000</v>
      </c>
    </row>
    <row r="177" spans="1:10" x14ac:dyDescent="0.25">
      <c r="A177" s="12" t="s">
        <v>163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x14ac:dyDescent="0.25">
      <c r="A178" s="12" t="s">
        <v>164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x14ac:dyDescent="0.25">
      <c r="A179" s="12" t="s">
        <v>165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x14ac:dyDescent="0.25">
      <c r="A180" s="12" t="s">
        <v>166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x14ac:dyDescent="0.25">
      <c r="A181" s="12" t="s">
        <v>167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x14ac:dyDescent="0.25">
      <c r="A182" s="12" t="s">
        <v>168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 x14ac:dyDescent="0.25">
      <c r="A183" s="12" t="s">
        <v>169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 x14ac:dyDescent="0.25">
      <c r="A184" s="12" t="s">
        <v>17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31051000</v>
      </c>
      <c r="H184" s="7">
        <v>0</v>
      </c>
      <c r="I184" s="7">
        <v>0</v>
      </c>
      <c r="J184" s="7">
        <v>0</v>
      </c>
    </row>
    <row r="185" spans="1:10" x14ac:dyDescent="0.25">
      <c r="A185" s="10" t="s">
        <v>170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</row>
    <row r="186" spans="1:10" x14ac:dyDescent="0.25">
      <c r="A186" s="10" t="s">
        <v>171</v>
      </c>
      <c r="B186" s="9">
        <v>150530000</v>
      </c>
      <c r="C186" s="9">
        <v>121807000</v>
      </c>
      <c r="D186" s="9">
        <v>111574000</v>
      </c>
      <c r="E186" s="9">
        <v>104010000</v>
      </c>
      <c r="F186" s="9">
        <v>96851000</v>
      </c>
      <c r="G186" s="9">
        <v>88692000</v>
      </c>
      <c r="H186" s="9">
        <v>75288000</v>
      </c>
      <c r="I186" s="9">
        <v>69597000</v>
      </c>
      <c r="J186" s="9">
        <v>63109000</v>
      </c>
    </row>
    <row r="187" spans="1:10" x14ac:dyDescent="0.25">
      <c r="A187" s="10" t="s">
        <v>172</v>
      </c>
      <c r="B187" s="9">
        <v>-22422000</v>
      </c>
      <c r="C187" s="9">
        <v>210122000</v>
      </c>
      <c r="D187" s="9">
        <v>356010000</v>
      </c>
      <c r="E187" s="9">
        <v>1132331000</v>
      </c>
      <c r="F187" s="9">
        <v>633408000</v>
      </c>
      <c r="G187" s="9">
        <v>749982000</v>
      </c>
      <c r="H187" s="9">
        <v>984374000</v>
      </c>
      <c r="I187" s="9">
        <v>1030163000</v>
      </c>
      <c r="J187" s="9">
        <v>1864725000</v>
      </c>
    </row>
    <row r="188" spans="1:10" x14ac:dyDescent="0.25">
      <c r="A188" s="10" t="s">
        <v>173</v>
      </c>
      <c r="B188" s="9">
        <v>0</v>
      </c>
      <c r="C188" s="9">
        <v>-15802000</v>
      </c>
      <c r="D188" s="9">
        <v>-37714000</v>
      </c>
      <c r="E188" s="9">
        <v>-72042000</v>
      </c>
      <c r="F188" s="9">
        <v>48841000</v>
      </c>
      <c r="G188" s="9">
        <v>-35705000</v>
      </c>
      <c r="H188" s="9">
        <v>-42472000</v>
      </c>
      <c r="I188" s="9">
        <v>-34917000</v>
      </c>
      <c r="J188" s="9">
        <v>-150058000</v>
      </c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 t="s">
        <v>174</v>
      </c>
      <c r="B190" s="5" t="s">
        <v>2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</row>
    <row r="191" spans="1:10" x14ac:dyDescent="0.25">
      <c r="A191" s="3" t="s">
        <v>175</v>
      </c>
      <c r="B191" s="5">
        <v>12</v>
      </c>
      <c r="C191" s="5">
        <v>12</v>
      </c>
      <c r="D191" s="5">
        <v>12</v>
      </c>
      <c r="E191" s="5">
        <v>12</v>
      </c>
      <c r="F191" s="5">
        <v>12</v>
      </c>
      <c r="G191" s="5">
        <v>12</v>
      </c>
      <c r="H191" s="5">
        <v>12</v>
      </c>
      <c r="I191" s="5">
        <v>12</v>
      </c>
      <c r="J191" s="5">
        <v>12</v>
      </c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 t="s">
        <v>176</v>
      </c>
      <c r="B193" s="7">
        <v>5698513000</v>
      </c>
      <c r="C193" s="7">
        <v>6126493000</v>
      </c>
      <c r="D193" s="7">
        <v>5911677000</v>
      </c>
      <c r="E193" s="7">
        <v>6846456000</v>
      </c>
      <c r="F193" s="7">
        <v>6816454000</v>
      </c>
      <c r="G193" s="7">
        <v>7487940000</v>
      </c>
      <c r="H193" s="7">
        <v>9616299000</v>
      </c>
      <c r="I193" s="7">
        <v>10016395000</v>
      </c>
      <c r="J193" s="7">
        <v>8760568000</v>
      </c>
    </row>
    <row r="194" spans="1:10" x14ac:dyDescent="0.25">
      <c r="A194" s="3" t="s">
        <v>177</v>
      </c>
      <c r="B194" s="7">
        <v>5122210000</v>
      </c>
      <c r="C194" s="7">
        <v>5267393000</v>
      </c>
      <c r="D194" s="7">
        <v>5094348000</v>
      </c>
      <c r="E194" s="7">
        <v>5954428000</v>
      </c>
      <c r="F194" s="7">
        <v>5844666000</v>
      </c>
      <c r="G194" s="7">
        <v>6332962000</v>
      </c>
      <c r="H194" s="7">
        <v>8298023000</v>
      </c>
      <c r="I194" s="7">
        <v>8831177000</v>
      </c>
      <c r="J194" s="7">
        <v>8195255000</v>
      </c>
    </row>
    <row r="195" spans="1:10" x14ac:dyDescent="0.25">
      <c r="A195" s="3" t="s">
        <v>178</v>
      </c>
      <c r="B195" s="7">
        <v>576303000</v>
      </c>
      <c r="C195" s="7">
        <v>859100000</v>
      </c>
      <c r="D195" s="7">
        <v>817329000</v>
      </c>
      <c r="E195" s="7">
        <v>892028000</v>
      </c>
      <c r="F195" s="7">
        <v>971788000</v>
      </c>
      <c r="G195" s="7">
        <v>1154978000</v>
      </c>
      <c r="H195" s="7">
        <v>1318276000</v>
      </c>
      <c r="I195" s="7">
        <v>1185218000</v>
      </c>
      <c r="J195" s="7">
        <v>565313000</v>
      </c>
    </row>
    <row r="196" spans="1:10" x14ac:dyDescent="0.25">
      <c r="A196" s="3" t="s">
        <v>179</v>
      </c>
      <c r="B196" s="7">
        <v>297793000</v>
      </c>
      <c r="C196" s="7">
        <v>405541000</v>
      </c>
      <c r="D196" s="7">
        <v>399626000</v>
      </c>
      <c r="E196" s="7">
        <v>442426000</v>
      </c>
      <c r="F196" s="7">
        <v>492466000</v>
      </c>
      <c r="G196" s="7">
        <v>658422000</v>
      </c>
      <c r="H196" s="7">
        <v>616783000</v>
      </c>
      <c r="I196" s="7">
        <v>508963000</v>
      </c>
      <c r="J196" s="7">
        <v>750034000</v>
      </c>
    </row>
    <row r="197" spans="1:10" x14ac:dyDescent="0.25">
      <c r="A197" s="6" t="s">
        <v>180</v>
      </c>
      <c r="B197" s="9">
        <v>92699000</v>
      </c>
      <c r="C197" s="9">
        <v>129117000</v>
      </c>
      <c r="D197" s="9">
        <v>117190000</v>
      </c>
      <c r="E197" s="9">
        <v>155560000</v>
      </c>
      <c r="F197" s="9">
        <v>150931000</v>
      </c>
      <c r="G197" s="9">
        <v>162157000</v>
      </c>
      <c r="H197" s="9">
        <v>75359000</v>
      </c>
      <c r="I197" s="9">
        <v>53778000</v>
      </c>
      <c r="J197" s="9">
        <v>61812000</v>
      </c>
    </row>
    <row r="198" spans="1:10" x14ac:dyDescent="0.25">
      <c r="A198" s="6" t="s">
        <v>181</v>
      </c>
      <c r="B198" s="9">
        <v>215010000</v>
      </c>
      <c r="C198" s="9">
        <v>281617000</v>
      </c>
      <c r="D198" s="9">
        <v>274865000</v>
      </c>
      <c r="E198" s="9">
        <v>329182000</v>
      </c>
      <c r="F198" s="9">
        <v>384373000</v>
      </c>
      <c r="G198" s="9">
        <v>398808000</v>
      </c>
      <c r="H198" s="9">
        <v>494228000</v>
      </c>
      <c r="I198" s="9">
        <v>502054000</v>
      </c>
      <c r="J198" s="9">
        <v>501831000</v>
      </c>
    </row>
    <row r="199" spans="1:10" x14ac:dyDescent="0.25">
      <c r="A199" s="6" t="s">
        <v>182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</row>
    <row r="200" spans="1:10" x14ac:dyDescent="0.25">
      <c r="A200" s="6" t="s">
        <v>183</v>
      </c>
      <c r="B200" s="9">
        <v>27224000</v>
      </c>
      <c r="C200" s="9">
        <v>18958000</v>
      </c>
      <c r="D200" s="9">
        <v>6411000</v>
      </c>
      <c r="E200" s="9">
        <v>-28332000</v>
      </c>
      <c r="F200" s="9">
        <v>71637000</v>
      </c>
      <c r="G200" s="9">
        <v>-77500000</v>
      </c>
      <c r="H200" s="9">
        <v>-32739000</v>
      </c>
      <c r="I200" s="9">
        <v>70771000</v>
      </c>
      <c r="J200" s="9">
        <v>-188434000</v>
      </c>
    </row>
    <row r="201" spans="1:10" x14ac:dyDescent="0.25">
      <c r="A201" s="6" t="s">
        <v>184</v>
      </c>
      <c r="B201" s="9">
        <v>17308000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</row>
    <row r="202" spans="1:10" x14ac:dyDescent="0.25">
      <c r="A202" s="6" t="s">
        <v>185</v>
      </c>
      <c r="B202" s="9">
        <v>0</v>
      </c>
      <c r="C202" s="9">
        <v>-13765000</v>
      </c>
      <c r="D202" s="9">
        <v>-13982000</v>
      </c>
      <c r="E202" s="9">
        <v>70648000</v>
      </c>
      <c r="F202" s="9">
        <v>-28799000</v>
      </c>
      <c r="G202" s="9">
        <v>-19957000</v>
      </c>
      <c r="H202" s="9">
        <v>-14457000</v>
      </c>
      <c r="I202" s="9">
        <v>-23902000</v>
      </c>
      <c r="J202" s="9">
        <v>2043000</v>
      </c>
    </row>
    <row r="203" spans="1:10" x14ac:dyDescent="0.25">
      <c r="A203" s="3" t="s">
        <v>186</v>
      </c>
      <c r="B203" s="7">
        <v>278510000</v>
      </c>
      <c r="C203" s="7">
        <v>453559000</v>
      </c>
      <c r="D203" s="7">
        <v>417703000</v>
      </c>
      <c r="E203" s="7">
        <v>449602000</v>
      </c>
      <c r="F203" s="7">
        <v>479322000</v>
      </c>
      <c r="G203" s="7">
        <v>496556000</v>
      </c>
      <c r="H203" s="7">
        <v>701493000</v>
      </c>
      <c r="I203" s="7">
        <v>676255000</v>
      </c>
      <c r="J203" s="7">
        <v>-184721000</v>
      </c>
    </row>
    <row r="204" spans="1:10" x14ac:dyDescent="0.25">
      <c r="A204" s="3" t="s">
        <v>187</v>
      </c>
      <c r="B204" s="7">
        <v>-160624000</v>
      </c>
      <c r="C204" s="7">
        <v>-212924000</v>
      </c>
      <c r="D204" s="7">
        <v>-256460000</v>
      </c>
      <c r="E204" s="7">
        <v>-316760000</v>
      </c>
      <c r="F204" s="7">
        <v>-344490000</v>
      </c>
      <c r="G204" s="7">
        <v>-347208000</v>
      </c>
      <c r="H204" s="7">
        <v>-220819000</v>
      </c>
      <c r="I204" s="7">
        <v>-169904000</v>
      </c>
      <c r="J204" s="7">
        <v>-232986000</v>
      </c>
    </row>
    <row r="205" spans="1:10" x14ac:dyDescent="0.25">
      <c r="A205" s="6" t="s">
        <v>188</v>
      </c>
      <c r="B205" s="9">
        <v>47014000</v>
      </c>
      <c r="C205" s="9">
        <v>24709000</v>
      </c>
      <c r="D205" s="9">
        <v>35030000</v>
      </c>
      <c r="E205" s="9">
        <v>37250000</v>
      </c>
      <c r="F205" s="9">
        <v>57837000</v>
      </c>
      <c r="G205" s="9">
        <v>55160000</v>
      </c>
      <c r="H205" s="9">
        <v>14838000</v>
      </c>
      <c r="I205" s="9">
        <v>65344000</v>
      </c>
      <c r="J205" s="9">
        <v>33366000</v>
      </c>
    </row>
    <row r="206" spans="1:10" x14ac:dyDescent="0.25">
      <c r="A206" s="6" t="s">
        <v>189</v>
      </c>
      <c r="B206" s="9">
        <v>207638000</v>
      </c>
      <c r="C206" s="9">
        <v>237633000</v>
      </c>
      <c r="D206" s="9">
        <v>291490000</v>
      </c>
      <c r="E206" s="9">
        <v>354010000</v>
      </c>
      <c r="F206" s="9">
        <v>402327000</v>
      </c>
      <c r="G206" s="9">
        <v>402368000</v>
      </c>
      <c r="H206" s="9">
        <v>235657000</v>
      </c>
      <c r="I206" s="9">
        <v>235248000</v>
      </c>
      <c r="J206" s="9">
        <v>266352000</v>
      </c>
    </row>
    <row r="207" spans="1:10" x14ac:dyDescent="0.25">
      <c r="A207" s="3" t="s">
        <v>190</v>
      </c>
      <c r="B207" s="7">
        <v>117886000</v>
      </c>
      <c r="C207" s="7">
        <v>240635000</v>
      </c>
      <c r="D207" s="7">
        <v>161243000</v>
      </c>
      <c r="E207" s="7">
        <v>132842000</v>
      </c>
      <c r="F207" s="7">
        <v>134832000</v>
      </c>
      <c r="G207" s="7">
        <v>149348000</v>
      </c>
      <c r="H207" s="7">
        <v>480674000</v>
      </c>
      <c r="I207" s="7">
        <v>506351000</v>
      </c>
      <c r="J207" s="7">
        <v>-417707000</v>
      </c>
    </row>
    <row r="208" spans="1:10" x14ac:dyDescent="0.25">
      <c r="A208" s="3" t="s">
        <v>191</v>
      </c>
      <c r="B208" s="7">
        <v>12180000</v>
      </c>
      <c r="C208" s="7">
        <v>29335000</v>
      </c>
      <c r="D208" s="7">
        <v>43211000</v>
      </c>
      <c r="E208" s="7">
        <v>12993000</v>
      </c>
      <c r="F208" s="7">
        <v>45702000</v>
      </c>
      <c r="G208" s="7">
        <v>69139000</v>
      </c>
      <c r="H208" s="7">
        <v>174532000</v>
      </c>
      <c r="I208" s="7">
        <v>84936000</v>
      </c>
      <c r="J208" s="7">
        <v>2207000</v>
      </c>
    </row>
    <row r="209" spans="1:10" x14ac:dyDescent="0.25">
      <c r="A209" s="6" t="s">
        <v>192</v>
      </c>
      <c r="B209" s="9">
        <v>71974000</v>
      </c>
      <c r="C209" s="9">
        <v>81347000</v>
      </c>
      <c r="D209" s="9">
        <v>80014000</v>
      </c>
      <c r="E209" s="9">
        <v>68873000</v>
      </c>
      <c r="F209" s="9">
        <v>112502000</v>
      </c>
      <c r="G209" s="9">
        <v>136828000</v>
      </c>
      <c r="H209" s="9">
        <v>148043000</v>
      </c>
      <c r="I209" s="9">
        <v>178240000</v>
      </c>
      <c r="J209" s="9">
        <v>88573000</v>
      </c>
    </row>
    <row r="210" spans="1:10" x14ac:dyDescent="0.25">
      <c r="A210" s="6" t="s">
        <v>193</v>
      </c>
      <c r="B210" s="9">
        <v>-59794000</v>
      </c>
      <c r="C210" s="9">
        <v>-52012000</v>
      </c>
      <c r="D210" s="9">
        <v>-36803000</v>
      </c>
      <c r="E210" s="9">
        <v>-55880000</v>
      </c>
      <c r="F210" s="9">
        <v>-66800000</v>
      </c>
      <c r="G210" s="9">
        <v>-67689000</v>
      </c>
      <c r="H210" s="9">
        <v>26489000</v>
      </c>
      <c r="I210" s="9">
        <v>-93304000</v>
      </c>
      <c r="J210" s="9">
        <v>-86366000</v>
      </c>
    </row>
    <row r="211" spans="1:10" x14ac:dyDescent="0.25">
      <c r="A211" s="3" t="s">
        <v>194</v>
      </c>
      <c r="B211" s="7">
        <v>105706000</v>
      </c>
      <c r="C211" s="7">
        <v>211300000</v>
      </c>
      <c r="D211" s="7">
        <v>118032000</v>
      </c>
      <c r="E211" s="7">
        <v>119849000</v>
      </c>
      <c r="F211" s="7">
        <v>89130000</v>
      </c>
      <c r="G211" s="7">
        <v>80209000</v>
      </c>
      <c r="H211" s="7">
        <v>306142000</v>
      </c>
      <c r="I211" s="7">
        <v>421415000</v>
      </c>
      <c r="J211" s="7">
        <v>-419914000</v>
      </c>
    </row>
    <row r="212" spans="1:10" x14ac:dyDescent="0.25">
      <c r="A212" s="3" t="s">
        <v>195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</row>
    <row r="213" spans="1:10" x14ac:dyDescent="0.25">
      <c r="A213" s="6" t="s">
        <v>196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</row>
    <row r="214" spans="1:10" x14ac:dyDescent="0.25">
      <c r="A214" s="6" t="s">
        <v>197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</row>
    <row r="215" spans="1:10" x14ac:dyDescent="0.25">
      <c r="A215" s="3" t="s">
        <v>198</v>
      </c>
      <c r="B215" s="7">
        <v>105706000</v>
      </c>
      <c r="C215" s="7">
        <v>211300000</v>
      </c>
      <c r="D215" s="7">
        <v>118032000</v>
      </c>
      <c r="E215" s="7">
        <v>119849000</v>
      </c>
      <c r="F215" s="7">
        <v>89130000</v>
      </c>
      <c r="G215" s="7">
        <v>80209000</v>
      </c>
      <c r="H215" s="7">
        <v>306142000</v>
      </c>
      <c r="I215" s="7">
        <v>421415000</v>
      </c>
      <c r="J215" s="7">
        <v>-419914000</v>
      </c>
    </row>
    <row r="216" spans="1:10" x14ac:dyDescent="0.25">
      <c r="A216" s="3" t="s">
        <v>199</v>
      </c>
      <c r="B216" s="7">
        <v>38842000</v>
      </c>
      <c r="C216" s="7">
        <v>40971000</v>
      </c>
      <c r="D216" s="7">
        <v>50255000</v>
      </c>
      <c r="E216" s="7">
        <v>70483000</v>
      </c>
      <c r="F216" s="7">
        <v>67599000</v>
      </c>
      <c r="G216" s="7">
        <v>73806000</v>
      </c>
      <c r="H216" s="7">
        <v>104817000</v>
      </c>
      <c r="I216" s="7">
        <v>83980000</v>
      </c>
      <c r="J216" s="7">
        <v>71866000</v>
      </c>
    </row>
    <row r="217" spans="1:10" x14ac:dyDescent="0.25">
      <c r="A217" s="3" t="s">
        <v>200</v>
      </c>
      <c r="B217" s="7">
        <v>66864000</v>
      </c>
      <c r="C217" s="7">
        <v>170329000</v>
      </c>
      <c r="D217" s="7">
        <v>67777000</v>
      </c>
      <c r="E217" s="7">
        <v>49366000</v>
      </c>
      <c r="F217" s="7">
        <v>21531000</v>
      </c>
      <c r="G217" s="7">
        <v>6403000</v>
      </c>
      <c r="H217" s="7">
        <v>201325000</v>
      </c>
      <c r="I217" s="7">
        <v>337435000</v>
      </c>
      <c r="J217" s="7">
        <v>-491780000</v>
      </c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 t="s">
        <v>201</v>
      </c>
      <c r="B219" s="5" t="s">
        <v>2</v>
      </c>
      <c r="C219" s="5" t="s">
        <v>2</v>
      </c>
      <c r="D219" s="5" t="s">
        <v>2</v>
      </c>
      <c r="E219" s="5" t="s">
        <v>2</v>
      </c>
      <c r="F219" s="5" t="s">
        <v>2</v>
      </c>
      <c r="G219" s="5" t="s">
        <v>2</v>
      </c>
      <c r="H219" s="5" t="s">
        <v>2</v>
      </c>
      <c r="I219" s="5" t="s">
        <v>2</v>
      </c>
      <c r="J219" s="5" t="s">
        <v>2</v>
      </c>
    </row>
    <row r="220" spans="1:10" x14ac:dyDescent="0.25">
      <c r="A220" s="3" t="s">
        <v>175</v>
      </c>
      <c r="B220" s="5">
        <v>12</v>
      </c>
      <c r="C220" s="5">
        <v>12</v>
      </c>
      <c r="D220" s="5">
        <v>12</v>
      </c>
      <c r="E220" s="5">
        <v>12</v>
      </c>
      <c r="F220" s="5">
        <v>12</v>
      </c>
      <c r="G220" s="5">
        <v>12</v>
      </c>
      <c r="H220" s="5">
        <v>12</v>
      </c>
      <c r="I220" s="5">
        <v>12</v>
      </c>
      <c r="J220" s="5">
        <v>12</v>
      </c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 t="s">
        <v>202</v>
      </c>
      <c r="B222" s="7">
        <v>-165758000</v>
      </c>
      <c r="C222" s="7">
        <v>496458000</v>
      </c>
      <c r="D222" s="7">
        <v>462824000</v>
      </c>
      <c r="E222" s="7">
        <v>149954000</v>
      </c>
      <c r="F222" s="7">
        <v>253963000</v>
      </c>
      <c r="G222" s="7">
        <v>303396000</v>
      </c>
      <c r="H222" s="7">
        <v>614720000</v>
      </c>
      <c r="I222" s="7">
        <v>657683000</v>
      </c>
      <c r="J222" s="7">
        <v>113169000</v>
      </c>
    </row>
    <row r="223" spans="1:10" x14ac:dyDescent="0.25">
      <c r="A223" s="6" t="s">
        <v>203</v>
      </c>
      <c r="B223" s="9">
        <v>132149000</v>
      </c>
      <c r="C223" s="9">
        <v>614144000</v>
      </c>
      <c r="D223" s="9">
        <v>724391000</v>
      </c>
      <c r="E223" s="9">
        <v>749839000</v>
      </c>
      <c r="F223" s="9">
        <v>771150000</v>
      </c>
      <c r="G223" s="9">
        <v>831578000</v>
      </c>
      <c r="H223" s="9">
        <v>1137362000</v>
      </c>
      <c r="I223" s="9">
        <v>1178880000</v>
      </c>
      <c r="J223" s="9">
        <v>505663000</v>
      </c>
    </row>
    <row r="224" spans="1:10" x14ac:dyDescent="0.25">
      <c r="A224" s="8" t="s">
        <v>204</v>
      </c>
      <c r="B224" s="11">
        <v>105706000</v>
      </c>
      <c r="C224" s="11">
        <v>211300000</v>
      </c>
      <c r="D224" s="11">
        <v>118032000</v>
      </c>
      <c r="E224" s="11">
        <v>119849000</v>
      </c>
      <c r="F224" s="11">
        <v>89130000</v>
      </c>
      <c r="G224" s="11">
        <v>80209000</v>
      </c>
      <c r="H224" s="11">
        <v>306142000</v>
      </c>
      <c r="I224" s="11">
        <v>421415000</v>
      </c>
      <c r="J224" s="11">
        <v>-419914000</v>
      </c>
    </row>
    <row r="225" spans="1:10" x14ac:dyDescent="0.25">
      <c r="A225" s="8" t="s">
        <v>205</v>
      </c>
      <c r="B225" s="11">
        <v>181061000</v>
      </c>
      <c r="C225" s="11">
        <v>212339000</v>
      </c>
      <c r="D225" s="11">
        <v>240352000</v>
      </c>
      <c r="E225" s="11">
        <v>301464000</v>
      </c>
      <c r="F225" s="11">
        <v>316903000</v>
      </c>
      <c r="G225" s="11">
        <v>301997000</v>
      </c>
      <c r="H225" s="11">
        <v>355575000</v>
      </c>
      <c r="I225" s="11">
        <v>419554000</v>
      </c>
      <c r="J225" s="11">
        <v>556861000</v>
      </c>
    </row>
    <row r="226" spans="1:10" x14ac:dyDescent="0.25">
      <c r="A226" s="8" t="s">
        <v>206</v>
      </c>
      <c r="B226" s="11">
        <v>186256000</v>
      </c>
      <c r="C226" s="11">
        <v>172364000</v>
      </c>
      <c r="D226" s="11">
        <v>348278000</v>
      </c>
      <c r="E226" s="11">
        <v>297939000</v>
      </c>
      <c r="F226" s="11">
        <v>327335000</v>
      </c>
      <c r="G226" s="11">
        <v>211910000</v>
      </c>
      <c r="H226" s="11">
        <v>202440000</v>
      </c>
      <c r="I226" s="11">
        <v>188959000</v>
      </c>
      <c r="J226" s="11">
        <v>197763000</v>
      </c>
    </row>
    <row r="227" spans="1:10" x14ac:dyDescent="0.25">
      <c r="A227" s="8" t="s">
        <v>207</v>
      </c>
      <c r="B227" s="11">
        <v>0</v>
      </c>
      <c r="C227" s="11">
        <v>0</v>
      </c>
      <c r="D227" s="11">
        <v>-14991000</v>
      </c>
      <c r="E227" s="11">
        <v>0</v>
      </c>
      <c r="F227" s="11">
        <v>-68710000</v>
      </c>
      <c r="G227" s="11">
        <v>-19910000</v>
      </c>
      <c r="H227" s="11">
        <v>0</v>
      </c>
      <c r="I227" s="11">
        <v>0</v>
      </c>
      <c r="J227" s="11">
        <v>0</v>
      </c>
    </row>
    <row r="228" spans="1:10" x14ac:dyDescent="0.25">
      <c r="A228" s="8" t="s">
        <v>208</v>
      </c>
      <c r="B228" s="11">
        <v>11557000</v>
      </c>
      <c r="C228" s="11">
        <v>40299000</v>
      </c>
      <c r="D228" s="11">
        <v>30881000</v>
      </c>
      <c r="E228" s="11">
        <v>45945000</v>
      </c>
      <c r="F228" s="11">
        <v>12397000</v>
      </c>
      <c r="G228" s="11">
        <v>12480000</v>
      </c>
      <c r="H228" s="11">
        <v>27881000</v>
      </c>
      <c r="I228" s="11">
        <v>25515000</v>
      </c>
      <c r="J228" s="11">
        <v>101120000</v>
      </c>
    </row>
    <row r="229" spans="1:10" x14ac:dyDescent="0.25">
      <c r="A229" s="8" t="s">
        <v>209</v>
      </c>
      <c r="B229" s="11">
        <v>0</v>
      </c>
      <c r="C229" s="11">
        <v>13765000</v>
      </c>
      <c r="D229" s="11">
        <v>13982000</v>
      </c>
      <c r="E229" s="11">
        <v>-70648000</v>
      </c>
      <c r="F229" s="11">
        <v>28799000</v>
      </c>
      <c r="G229" s="11">
        <v>19957000</v>
      </c>
      <c r="H229" s="11">
        <v>14457000</v>
      </c>
      <c r="I229" s="11">
        <v>23902000</v>
      </c>
      <c r="J229" s="11">
        <v>-2043000</v>
      </c>
    </row>
    <row r="230" spans="1:10" x14ac:dyDescent="0.25">
      <c r="A230" s="8" t="s">
        <v>210</v>
      </c>
      <c r="B230" s="11">
        <v>-59794000</v>
      </c>
      <c r="C230" s="11">
        <v>-52012000</v>
      </c>
      <c r="D230" s="11">
        <v>-36803000</v>
      </c>
      <c r="E230" s="11">
        <v>12993000</v>
      </c>
      <c r="F230" s="11">
        <v>45702000</v>
      </c>
      <c r="G230" s="11">
        <v>69139000</v>
      </c>
      <c r="H230" s="11">
        <v>174532000</v>
      </c>
      <c r="I230" s="11">
        <v>84936000</v>
      </c>
      <c r="J230" s="11">
        <v>2207000</v>
      </c>
    </row>
    <row r="231" spans="1:10" x14ac:dyDescent="0.25">
      <c r="A231" s="8" t="s">
        <v>211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</row>
    <row r="232" spans="1:10" x14ac:dyDescent="0.25">
      <c r="A232" s="8" t="s">
        <v>212</v>
      </c>
      <c r="B232" s="11">
        <v>-292637000</v>
      </c>
      <c r="C232" s="11">
        <v>16089000</v>
      </c>
      <c r="D232" s="11">
        <v>24660000</v>
      </c>
      <c r="E232" s="11">
        <v>42297000</v>
      </c>
      <c r="F232" s="11">
        <v>19594000</v>
      </c>
      <c r="G232" s="11">
        <v>155796000</v>
      </c>
      <c r="H232" s="11">
        <v>56335000</v>
      </c>
      <c r="I232" s="11">
        <v>14599000</v>
      </c>
      <c r="J232" s="11">
        <v>69669000</v>
      </c>
    </row>
    <row r="233" spans="1:10" x14ac:dyDescent="0.25">
      <c r="A233" s="6" t="s">
        <v>213</v>
      </c>
      <c r="B233" s="9">
        <v>-297907000</v>
      </c>
      <c r="C233" s="9">
        <v>-117686000</v>
      </c>
      <c r="D233" s="9">
        <v>-261567000</v>
      </c>
      <c r="E233" s="9">
        <v>-599885000</v>
      </c>
      <c r="F233" s="9">
        <v>-517187000</v>
      </c>
      <c r="G233" s="9">
        <v>-528182000</v>
      </c>
      <c r="H233" s="9">
        <v>-522642000</v>
      </c>
      <c r="I233" s="9">
        <v>-521197000</v>
      </c>
      <c r="J233" s="9">
        <v>-392494000</v>
      </c>
    </row>
    <row r="234" spans="1:10" x14ac:dyDescent="0.25">
      <c r="A234" s="8" t="s">
        <v>214</v>
      </c>
      <c r="B234" s="11">
        <v>30558000</v>
      </c>
      <c r="C234" s="11">
        <v>-44734000</v>
      </c>
      <c r="D234" s="11">
        <v>28995000</v>
      </c>
      <c r="E234" s="11">
        <v>-186199000</v>
      </c>
      <c r="F234" s="11">
        <v>-105524000</v>
      </c>
      <c r="G234" s="11">
        <v>-153663000</v>
      </c>
      <c r="H234" s="11">
        <v>-76110000</v>
      </c>
      <c r="I234" s="11">
        <v>277933000</v>
      </c>
      <c r="J234" s="11">
        <v>-117929000</v>
      </c>
    </row>
    <row r="235" spans="1:10" x14ac:dyDescent="0.25">
      <c r="A235" s="8" t="s">
        <v>215</v>
      </c>
      <c r="B235" s="11">
        <v>-46269000</v>
      </c>
      <c r="C235" s="11">
        <v>-6250000</v>
      </c>
      <c r="D235" s="11">
        <v>-66940000</v>
      </c>
      <c r="E235" s="11">
        <v>-192052000</v>
      </c>
      <c r="F235" s="11">
        <v>-76966000</v>
      </c>
      <c r="G235" s="11">
        <v>-262137000</v>
      </c>
      <c r="H235" s="11">
        <v>-144750000</v>
      </c>
      <c r="I235" s="11">
        <v>156157000</v>
      </c>
      <c r="J235" s="11">
        <v>-97686000</v>
      </c>
    </row>
    <row r="236" spans="1:10" x14ac:dyDescent="0.25">
      <c r="A236" s="8" t="s">
        <v>216</v>
      </c>
      <c r="B236" s="11">
        <v>-81194000</v>
      </c>
      <c r="C236" s="11">
        <v>2740000</v>
      </c>
      <c r="D236" s="11">
        <v>44828000</v>
      </c>
      <c r="E236" s="11">
        <v>-77201000</v>
      </c>
      <c r="F236" s="11">
        <v>-18859000</v>
      </c>
      <c r="G236" s="11">
        <v>19835000</v>
      </c>
      <c r="H236" s="11">
        <v>-60915000</v>
      </c>
      <c r="I236" s="11">
        <v>-150370000</v>
      </c>
      <c r="J236" s="11">
        <v>-29628000</v>
      </c>
    </row>
    <row r="237" spans="1:10" x14ac:dyDescent="0.25">
      <c r="A237" s="8" t="s">
        <v>217</v>
      </c>
      <c r="B237" s="11">
        <v>-12686000</v>
      </c>
      <c r="C237" s="11">
        <v>59352000</v>
      </c>
      <c r="D237" s="11">
        <v>188193000</v>
      </c>
      <c r="E237" s="11">
        <v>117828000</v>
      </c>
      <c r="F237" s="11">
        <v>66355000</v>
      </c>
      <c r="G237" s="11">
        <v>120794000</v>
      </c>
      <c r="H237" s="11">
        <v>124760000</v>
      </c>
      <c r="I237" s="11">
        <v>-275099000</v>
      </c>
      <c r="J237" s="11">
        <v>198541000</v>
      </c>
    </row>
    <row r="238" spans="1:10" x14ac:dyDescent="0.25">
      <c r="A238" s="8" t="s">
        <v>218</v>
      </c>
      <c r="B238" s="11">
        <v>-71974000</v>
      </c>
      <c r="C238" s="11">
        <v>-75025000</v>
      </c>
      <c r="D238" s="11">
        <v>-126345000</v>
      </c>
      <c r="E238" s="11">
        <v>-127371000</v>
      </c>
      <c r="F238" s="11">
        <v>-117940000</v>
      </c>
      <c r="G238" s="11">
        <v>-122611000</v>
      </c>
      <c r="H238" s="11">
        <v>-204067000</v>
      </c>
      <c r="I238" s="11">
        <v>-160822000</v>
      </c>
      <c r="J238" s="11">
        <v>-138886000</v>
      </c>
    </row>
    <row r="239" spans="1:10" x14ac:dyDescent="0.25">
      <c r="A239" s="8" t="s">
        <v>219</v>
      </c>
      <c r="B239" s="11">
        <v>-116342000</v>
      </c>
      <c r="C239" s="11">
        <v>-53769000</v>
      </c>
      <c r="D239" s="11">
        <v>-330298000</v>
      </c>
      <c r="E239" s="11">
        <v>-134890000</v>
      </c>
      <c r="F239" s="11">
        <v>-264253000</v>
      </c>
      <c r="G239" s="11">
        <v>-130400000</v>
      </c>
      <c r="H239" s="11">
        <v>-161560000</v>
      </c>
      <c r="I239" s="11">
        <v>-368996000</v>
      </c>
      <c r="J239" s="11">
        <v>-206906000</v>
      </c>
    </row>
    <row r="240" spans="1:10" x14ac:dyDescent="0.25">
      <c r="A240" s="6" t="s">
        <v>220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</row>
    <row r="241" spans="1:10" x14ac:dyDescent="0.25">
      <c r="A241" s="3" t="s">
        <v>221</v>
      </c>
      <c r="B241" s="7">
        <v>-1304875000</v>
      </c>
      <c r="C241" s="7">
        <v>-249201000</v>
      </c>
      <c r="D241" s="7">
        <v>-286963000</v>
      </c>
      <c r="E241" s="7">
        <v>-321520000</v>
      </c>
      <c r="F241" s="7">
        <v>-274540000</v>
      </c>
      <c r="G241" s="7">
        <v>-237461000</v>
      </c>
      <c r="H241" s="7">
        <v>-470745000</v>
      </c>
      <c r="I241" s="7">
        <v>-524468000</v>
      </c>
      <c r="J241" s="7">
        <v>-335794000</v>
      </c>
    </row>
    <row r="242" spans="1:10" x14ac:dyDescent="0.25">
      <c r="A242" s="6" t="s">
        <v>222</v>
      </c>
      <c r="B242" s="9">
        <v>-1350712000</v>
      </c>
      <c r="C242" s="9">
        <v>-249201000</v>
      </c>
      <c r="D242" s="9">
        <v>-286963000</v>
      </c>
      <c r="E242" s="9">
        <v>-321520000</v>
      </c>
      <c r="F242" s="9">
        <v>-274540000</v>
      </c>
      <c r="G242" s="9">
        <v>-237461000</v>
      </c>
      <c r="H242" s="9">
        <v>-470745000</v>
      </c>
      <c r="I242" s="9">
        <v>-544561000</v>
      </c>
      <c r="J242" s="9">
        <v>-335794000</v>
      </c>
    </row>
    <row r="243" spans="1:10" x14ac:dyDescent="0.25">
      <c r="A243" s="8" t="s">
        <v>223</v>
      </c>
      <c r="B243" s="11">
        <v>-1089728000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-60934000</v>
      </c>
      <c r="J243" s="11">
        <v>0</v>
      </c>
    </row>
    <row r="244" spans="1:10" x14ac:dyDescent="0.25">
      <c r="A244" s="8" t="s">
        <v>224</v>
      </c>
      <c r="B244" s="11">
        <v>-260984000</v>
      </c>
      <c r="C244" s="11">
        <v>-249201000</v>
      </c>
      <c r="D244" s="11">
        <v>-302413000</v>
      </c>
      <c r="E244" s="11">
        <v>-321520000</v>
      </c>
      <c r="F244" s="11">
        <v>-293453000</v>
      </c>
      <c r="G244" s="11">
        <v>-237461000</v>
      </c>
      <c r="H244" s="11">
        <v>-470745000</v>
      </c>
      <c r="I244" s="11">
        <v>-483627000</v>
      </c>
      <c r="J244" s="11">
        <v>-335794000</v>
      </c>
    </row>
    <row r="245" spans="1:10" x14ac:dyDescent="0.25">
      <c r="A245" s="8" t="s">
        <v>225</v>
      </c>
      <c r="B245" s="11">
        <v>0</v>
      </c>
      <c r="C245" s="11">
        <v>0</v>
      </c>
      <c r="D245" s="11">
        <v>15450000</v>
      </c>
      <c r="E245" s="11">
        <v>0</v>
      </c>
      <c r="F245" s="11">
        <v>18913000</v>
      </c>
      <c r="G245" s="11">
        <v>0</v>
      </c>
      <c r="H245" s="11">
        <v>0</v>
      </c>
      <c r="I245" s="11">
        <v>0</v>
      </c>
      <c r="J245" s="11">
        <v>0</v>
      </c>
    </row>
    <row r="246" spans="1:10" x14ac:dyDescent="0.25">
      <c r="A246" s="6" t="s">
        <v>226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</row>
    <row r="247" spans="1:10" x14ac:dyDescent="0.25">
      <c r="A247" s="6" t="s">
        <v>227</v>
      </c>
      <c r="B247" s="9">
        <v>45837000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</row>
    <row r="248" spans="1:10" x14ac:dyDescent="0.25">
      <c r="A248" s="6" t="s">
        <v>228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20093000</v>
      </c>
      <c r="J248" s="9">
        <v>0</v>
      </c>
    </row>
    <row r="249" spans="1:10" x14ac:dyDescent="0.25">
      <c r="A249" s="3" t="s">
        <v>229</v>
      </c>
      <c r="B249" s="7">
        <v>1684157000</v>
      </c>
      <c r="C249" s="7">
        <v>-143058000</v>
      </c>
      <c r="D249" s="7">
        <v>-146293000</v>
      </c>
      <c r="E249" s="7">
        <v>-3337000</v>
      </c>
      <c r="F249" s="7">
        <v>-133976000</v>
      </c>
      <c r="G249" s="7">
        <v>1940000</v>
      </c>
      <c r="H249" s="7">
        <v>-274132000</v>
      </c>
      <c r="I249" s="7">
        <v>-1590000</v>
      </c>
      <c r="J249" s="7">
        <v>969295000</v>
      </c>
    </row>
    <row r="250" spans="1:10" x14ac:dyDescent="0.25">
      <c r="A250" s="6" t="s">
        <v>230</v>
      </c>
      <c r="B250" s="9">
        <v>1772916000</v>
      </c>
      <c r="C250" s="9">
        <v>-85951000</v>
      </c>
      <c r="D250" s="9">
        <v>-9320000</v>
      </c>
      <c r="E250" s="9">
        <v>82312000</v>
      </c>
      <c r="F250" s="9">
        <v>-33253000</v>
      </c>
      <c r="G250" s="9">
        <v>-458193000</v>
      </c>
      <c r="H250" s="9">
        <v>-130821000</v>
      </c>
      <c r="I250" s="9">
        <v>137633000</v>
      </c>
      <c r="J250" s="9">
        <v>1110594000</v>
      </c>
    </row>
    <row r="251" spans="1:10" x14ac:dyDescent="0.25">
      <c r="A251" s="8" t="s">
        <v>231</v>
      </c>
      <c r="B251" s="11">
        <v>2956160000</v>
      </c>
      <c r="C251" s="11">
        <v>1967770000</v>
      </c>
      <c r="D251" s="11">
        <v>581566000</v>
      </c>
      <c r="E251" s="11">
        <v>1401548000</v>
      </c>
      <c r="F251" s="11">
        <v>2961936000</v>
      </c>
      <c r="G251" s="11">
        <v>1336434000</v>
      </c>
      <c r="H251" s="11">
        <v>2001080000</v>
      </c>
      <c r="I251" s="11">
        <v>2576517000</v>
      </c>
      <c r="J251" s="11">
        <v>2462923000</v>
      </c>
    </row>
    <row r="252" spans="1:10" x14ac:dyDescent="0.25">
      <c r="A252" s="8" t="s">
        <v>232</v>
      </c>
      <c r="B252" s="11">
        <v>-1183244000</v>
      </c>
      <c r="C252" s="11">
        <v>-2053721000</v>
      </c>
      <c r="D252" s="11">
        <v>-590886000</v>
      </c>
      <c r="E252" s="11">
        <v>-1319236000</v>
      </c>
      <c r="F252" s="11">
        <v>-2995189000</v>
      </c>
      <c r="G252" s="11">
        <v>-1794627000</v>
      </c>
      <c r="H252" s="11">
        <v>-2131901000</v>
      </c>
      <c r="I252" s="11">
        <v>-2438884000</v>
      </c>
      <c r="J252" s="11">
        <v>-1352329000</v>
      </c>
    </row>
    <row r="253" spans="1:10" x14ac:dyDescent="0.25">
      <c r="A253" s="6" t="s">
        <v>233</v>
      </c>
      <c r="B253" s="9">
        <v>-1915000</v>
      </c>
      <c r="C253" s="9">
        <v>0</v>
      </c>
      <c r="D253" s="9">
        <v>0</v>
      </c>
      <c r="E253" s="9">
        <v>0</v>
      </c>
      <c r="F253" s="9">
        <v>-2155000</v>
      </c>
      <c r="G253" s="9">
        <v>572778000</v>
      </c>
      <c r="H253" s="9">
        <v>-13142000</v>
      </c>
      <c r="I253" s="9">
        <v>36951000</v>
      </c>
      <c r="J253" s="9">
        <v>0</v>
      </c>
    </row>
    <row r="254" spans="1:10" x14ac:dyDescent="0.25">
      <c r="A254" s="8" t="s">
        <v>234</v>
      </c>
      <c r="B254" s="11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577398000</v>
      </c>
      <c r="H254" s="11">
        <v>0</v>
      </c>
      <c r="I254" s="11">
        <v>39938000</v>
      </c>
      <c r="J254" s="11">
        <v>0</v>
      </c>
    </row>
    <row r="255" spans="1:10" x14ac:dyDescent="0.25">
      <c r="A255" s="8" t="s">
        <v>235</v>
      </c>
      <c r="B255" s="11">
        <v>-1915000</v>
      </c>
      <c r="C255" s="11">
        <v>0</v>
      </c>
      <c r="D255" s="11">
        <v>0</v>
      </c>
      <c r="E255" s="11">
        <v>0</v>
      </c>
      <c r="F255" s="11">
        <v>-2155000</v>
      </c>
      <c r="G255" s="11">
        <v>-4620000</v>
      </c>
      <c r="H255" s="11">
        <v>-13142000</v>
      </c>
      <c r="I255" s="11">
        <v>-2987000</v>
      </c>
      <c r="J255" s="11">
        <v>0</v>
      </c>
    </row>
    <row r="256" spans="1:10" x14ac:dyDescent="0.25">
      <c r="A256" s="6" t="s">
        <v>236</v>
      </c>
      <c r="B256" s="9">
        <v>-86844000</v>
      </c>
      <c r="C256" s="9">
        <v>-57107000</v>
      </c>
      <c r="D256" s="9">
        <v>-136973000</v>
      </c>
      <c r="E256" s="9">
        <v>-85649000</v>
      </c>
      <c r="F256" s="9">
        <v>-98568000</v>
      </c>
      <c r="G256" s="9">
        <v>-80684000</v>
      </c>
      <c r="H256" s="9">
        <v>-129518000</v>
      </c>
      <c r="I256" s="9">
        <v>-203889000</v>
      </c>
      <c r="J256" s="9">
        <v>-146196000</v>
      </c>
    </row>
    <row r="257" spans="1:10" x14ac:dyDescent="0.25">
      <c r="A257" s="6" t="s">
        <v>237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-31961000</v>
      </c>
      <c r="H257" s="9">
        <v>-651000</v>
      </c>
      <c r="I257" s="9">
        <v>27715000</v>
      </c>
      <c r="J257" s="9">
        <v>4897000</v>
      </c>
    </row>
    <row r="258" spans="1:10" x14ac:dyDescent="0.25">
      <c r="A258" s="3" t="s">
        <v>238</v>
      </c>
      <c r="B258" s="7">
        <v>1492000</v>
      </c>
      <c r="C258" s="7">
        <v>56670000</v>
      </c>
      <c r="D258" s="7">
        <v>25281000</v>
      </c>
      <c r="E258" s="7">
        <v>197079000</v>
      </c>
      <c r="F258" s="7">
        <v>-153103000</v>
      </c>
      <c r="G258" s="7">
        <v>43857000</v>
      </c>
      <c r="H258" s="7">
        <v>73729000</v>
      </c>
      <c r="I258" s="7">
        <v>27609000</v>
      </c>
      <c r="J258" s="7">
        <v>212632000</v>
      </c>
    </row>
    <row r="259" spans="1:10" x14ac:dyDescent="0.25">
      <c r="A259" s="3" t="s">
        <v>239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x14ac:dyDescent="0.25">
      <c r="A260" s="3" t="s">
        <v>240</v>
      </c>
      <c r="B260" s="7">
        <v>215016000</v>
      </c>
      <c r="C260" s="7">
        <v>160869000</v>
      </c>
      <c r="D260" s="7">
        <v>54849000</v>
      </c>
      <c r="E260" s="7">
        <v>22176000</v>
      </c>
      <c r="F260" s="7">
        <v>-307656000</v>
      </c>
      <c r="G260" s="7">
        <v>111732000</v>
      </c>
      <c r="H260" s="7">
        <v>-56428000</v>
      </c>
      <c r="I260" s="7">
        <v>159234000</v>
      </c>
      <c r="J260" s="7">
        <v>959302000</v>
      </c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 t="s">
        <v>1</v>
      </c>
      <c r="B262" s="5" t="s">
        <v>2</v>
      </c>
      <c r="C262" s="5" t="s">
        <v>2</v>
      </c>
      <c r="D262" s="5" t="s">
        <v>2</v>
      </c>
      <c r="E262" s="5" t="s">
        <v>2</v>
      </c>
      <c r="F262" s="5" t="s">
        <v>2</v>
      </c>
      <c r="G262" s="5" t="s">
        <v>2</v>
      </c>
      <c r="H262" s="5" t="s">
        <v>2</v>
      </c>
      <c r="I262" s="5" t="s">
        <v>2</v>
      </c>
      <c r="J262" s="5" t="s">
        <v>2</v>
      </c>
    </row>
    <row r="263" spans="1:10" x14ac:dyDescent="0.25">
      <c r="A263" s="3" t="s">
        <v>3</v>
      </c>
      <c r="B263" s="5" t="s">
        <v>4</v>
      </c>
      <c r="C263" s="5" t="s">
        <v>4</v>
      </c>
      <c r="D263" s="5" t="s">
        <v>4</v>
      </c>
      <c r="E263" s="5" t="s">
        <v>4</v>
      </c>
      <c r="F263" s="5" t="s">
        <v>4</v>
      </c>
      <c r="G263" s="5" t="s">
        <v>4</v>
      </c>
      <c r="H263" s="5" t="s">
        <v>4</v>
      </c>
      <c r="I263" s="5" t="s">
        <v>4</v>
      </c>
      <c r="J263" s="5" t="s">
        <v>4</v>
      </c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 t="s">
        <v>7</v>
      </c>
      <c r="B265" s="5" t="s">
        <v>2</v>
      </c>
      <c r="C265" s="5" t="s">
        <v>2</v>
      </c>
      <c r="D265" s="5" t="s">
        <v>2</v>
      </c>
      <c r="E265" s="5" t="s">
        <v>2</v>
      </c>
      <c r="F265" s="5" t="s">
        <v>2</v>
      </c>
      <c r="G265" s="5" t="s">
        <v>2</v>
      </c>
      <c r="H265" s="5" t="s">
        <v>2</v>
      </c>
      <c r="I265" s="5" t="s">
        <v>2</v>
      </c>
      <c r="J265" s="5" t="s">
        <v>2</v>
      </c>
    </row>
    <row r="266" spans="1:10" x14ac:dyDescent="0.25">
      <c r="A266" s="3" t="s">
        <v>8</v>
      </c>
      <c r="B266" s="7">
        <v>5785582000</v>
      </c>
      <c r="C266" s="7">
        <v>6035705000</v>
      </c>
      <c r="D266" s="7">
        <v>6289024000</v>
      </c>
      <c r="E266" s="7">
        <v>7990379000</v>
      </c>
      <c r="F266" s="7">
        <v>7057115000</v>
      </c>
      <c r="G266" s="7">
        <v>7922248000</v>
      </c>
      <c r="H266" s="7">
        <v>9019190000</v>
      </c>
      <c r="I266" s="7">
        <v>9375411000</v>
      </c>
      <c r="J266" s="7">
        <v>12411803000</v>
      </c>
    </row>
    <row r="267" spans="1:10" x14ac:dyDescent="0.25">
      <c r="A267" s="6" t="s">
        <v>9</v>
      </c>
      <c r="B267" s="9">
        <v>2154873000</v>
      </c>
      <c r="C267" s="9">
        <v>2218944000</v>
      </c>
      <c r="D267" s="9">
        <v>2257929000</v>
      </c>
      <c r="E267" s="9">
        <v>2727855000</v>
      </c>
      <c r="F267" s="9">
        <v>2364711000</v>
      </c>
      <c r="G267" s="9">
        <v>3048763000</v>
      </c>
      <c r="H267" s="9">
        <v>3523802000</v>
      </c>
      <c r="I267" s="9">
        <v>3357621000</v>
      </c>
      <c r="J267" s="9">
        <v>5161926000</v>
      </c>
    </row>
    <row r="268" spans="1:10" x14ac:dyDescent="0.25">
      <c r="A268" s="8" t="s">
        <v>241</v>
      </c>
      <c r="B268" s="15" t="s">
        <v>14</v>
      </c>
      <c r="C268" s="15" t="s">
        <v>14</v>
      </c>
      <c r="D268" s="15" t="s">
        <v>14</v>
      </c>
      <c r="E268" s="15" t="s">
        <v>14</v>
      </c>
      <c r="F268" s="15" t="s">
        <v>14</v>
      </c>
      <c r="G268" s="15" t="s">
        <v>14</v>
      </c>
      <c r="H268" s="15" t="s">
        <v>14</v>
      </c>
      <c r="I268" s="15" t="s">
        <v>14</v>
      </c>
      <c r="J268" s="15" t="s">
        <v>14</v>
      </c>
    </row>
    <row r="269" spans="1:10" x14ac:dyDescent="0.25">
      <c r="A269" s="8" t="s">
        <v>242</v>
      </c>
      <c r="B269" s="15" t="s">
        <v>14</v>
      </c>
      <c r="C269" s="15" t="s">
        <v>14</v>
      </c>
      <c r="D269" s="15" t="s">
        <v>14</v>
      </c>
      <c r="E269" s="15" t="s">
        <v>14</v>
      </c>
      <c r="F269" s="15" t="s">
        <v>14</v>
      </c>
      <c r="G269" s="15" t="s">
        <v>14</v>
      </c>
      <c r="H269" s="15" t="s">
        <v>14</v>
      </c>
      <c r="I269" s="15" t="s">
        <v>14</v>
      </c>
      <c r="J269" s="15" t="s">
        <v>14</v>
      </c>
    </row>
    <row r="270" spans="1:10" x14ac:dyDescent="0.25">
      <c r="A270" s="10" t="s">
        <v>21</v>
      </c>
      <c r="B270" s="9">
        <v>759724000</v>
      </c>
      <c r="C270" s="9">
        <v>747813000</v>
      </c>
      <c r="D270" s="9">
        <v>720663000</v>
      </c>
      <c r="E270" s="9">
        <v>865496000</v>
      </c>
      <c r="F270" s="9">
        <v>835158000</v>
      </c>
      <c r="G270" s="9">
        <v>1064916000</v>
      </c>
      <c r="H270" s="9">
        <v>1253826000</v>
      </c>
      <c r="I270" s="9">
        <v>1029650000</v>
      </c>
      <c r="J270" s="9">
        <v>1405954000</v>
      </c>
    </row>
    <row r="271" spans="1:10" x14ac:dyDescent="0.25">
      <c r="A271" s="10" t="s">
        <v>243</v>
      </c>
      <c r="B271" s="14" t="s">
        <v>14</v>
      </c>
      <c r="C271" s="14" t="s">
        <v>14</v>
      </c>
      <c r="D271" s="14" t="s">
        <v>14</v>
      </c>
      <c r="E271" s="14" t="s">
        <v>14</v>
      </c>
      <c r="F271" s="14" t="s">
        <v>14</v>
      </c>
      <c r="G271" s="14" t="s">
        <v>14</v>
      </c>
      <c r="H271" s="14" t="s">
        <v>14</v>
      </c>
      <c r="I271" s="14" t="s">
        <v>14</v>
      </c>
      <c r="J271" s="14" t="s">
        <v>14</v>
      </c>
    </row>
    <row r="272" spans="1:10" x14ac:dyDescent="0.25">
      <c r="A272" s="12" t="s">
        <v>244</v>
      </c>
      <c r="B272" s="5" t="s">
        <v>14</v>
      </c>
      <c r="C272" s="5" t="s">
        <v>14</v>
      </c>
      <c r="D272" s="5" t="s">
        <v>14</v>
      </c>
      <c r="E272" s="5" t="s">
        <v>14</v>
      </c>
      <c r="F272" s="5" t="s">
        <v>14</v>
      </c>
      <c r="G272" s="5" t="s">
        <v>14</v>
      </c>
      <c r="H272" s="5" t="s">
        <v>14</v>
      </c>
      <c r="I272" s="5" t="s">
        <v>14</v>
      </c>
      <c r="J272" s="5" t="s">
        <v>14</v>
      </c>
    </row>
    <row r="273" spans="1:10" x14ac:dyDescent="0.25">
      <c r="A273" s="12" t="s">
        <v>245</v>
      </c>
      <c r="B273" s="5" t="s">
        <v>14</v>
      </c>
      <c r="C273" s="5" t="s">
        <v>14</v>
      </c>
      <c r="D273" s="5" t="s">
        <v>14</v>
      </c>
      <c r="E273" s="5" t="s">
        <v>14</v>
      </c>
      <c r="F273" s="5" t="s">
        <v>14</v>
      </c>
      <c r="G273" s="5" t="s">
        <v>14</v>
      </c>
      <c r="H273" s="5" t="s">
        <v>14</v>
      </c>
      <c r="I273" s="5" t="s">
        <v>14</v>
      </c>
      <c r="J273" s="5" t="s">
        <v>14</v>
      </c>
    </row>
    <row r="274" spans="1:10" x14ac:dyDescent="0.25">
      <c r="A274" s="8" t="s">
        <v>23</v>
      </c>
      <c r="B274" s="11">
        <v>703903000</v>
      </c>
      <c r="C274" s="11">
        <v>639060000</v>
      </c>
      <c r="D274" s="11">
        <v>678188000</v>
      </c>
      <c r="E274" s="11">
        <v>854665000</v>
      </c>
      <c r="F274" s="11">
        <v>865029000</v>
      </c>
      <c r="G274" s="11">
        <v>1191445000</v>
      </c>
      <c r="H274" s="11">
        <v>1448021000</v>
      </c>
      <c r="I274" s="11">
        <v>1328470000</v>
      </c>
      <c r="J274" s="11">
        <v>1748497000</v>
      </c>
    </row>
    <row r="275" spans="1:10" x14ac:dyDescent="0.25">
      <c r="A275" s="8" t="s">
        <v>246</v>
      </c>
      <c r="B275" s="15" t="s">
        <v>14</v>
      </c>
      <c r="C275" s="15" t="s">
        <v>14</v>
      </c>
      <c r="D275" s="15" t="s">
        <v>14</v>
      </c>
      <c r="E275" s="15" t="s">
        <v>14</v>
      </c>
      <c r="F275" s="15" t="s">
        <v>14</v>
      </c>
      <c r="G275" s="15" t="s">
        <v>14</v>
      </c>
      <c r="H275" s="15" t="s">
        <v>14</v>
      </c>
      <c r="I275" s="15" t="s">
        <v>14</v>
      </c>
      <c r="J275" s="15" t="s">
        <v>14</v>
      </c>
    </row>
    <row r="276" spans="1:10" x14ac:dyDescent="0.25">
      <c r="A276" s="6" t="s">
        <v>32</v>
      </c>
      <c r="B276" s="9">
        <v>3630709000</v>
      </c>
      <c r="C276" s="9">
        <v>3816761000</v>
      </c>
      <c r="D276" s="9">
        <v>4031095000</v>
      </c>
      <c r="E276" s="9">
        <v>5262524000</v>
      </c>
      <c r="F276" s="9">
        <v>4692404000</v>
      </c>
      <c r="G276" s="9">
        <v>4873485000</v>
      </c>
      <c r="H276" s="9">
        <v>5495388000</v>
      </c>
      <c r="I276" s="9">
        <v>6017790000</v>
      </c>
      <c r="J276" s="9">
        <v>7249877000</v>
      </c>
    </row>
    <row r="277" spans="1:10" x14ac:dyDescent="0.25">
      <c r="A277" s="8" t="s">
        <v>33</v>
      </c>
      <c r="B277" s="11">
        <v>195972000</v>
      </c>
      <c r="C277" s="11">
        <v>154462000</v>
      </c>
      <c r="D277" s="11">
        <v>125990000</v>
      </c>
      <c r="E277" s="11">
        <v>144210000</v>
      </c>
      <c r="F277" s="11">
        <v>289053000</v>
      </c>
      <c r="G277" s="11">
        <v>382631000</v>
      </c>
      <c r="H277" s="11">
        <v>383180000</v>
      </c>
      <c r="I277" s="11">
        <v>538299000</v>
      </c>
      <c r="J277" s="11">
        <v>629630000</v>
      </c>
    </row>
    <row r="278" spans="1:10" x14ac:dyDescent="0.25">
      <c r="A278" s="10" t="s">
        <v>247</v>
      </c>
      <c r="B278" s="14" t="s">
        <v>14</v>
      </c>
      <c r="C278" s="14" t="s">
        <v>14</v>
      </c>
      <c r="D278" s="14" t="s">
        <v>14</v>
      </c>
      <c r="E278" s="14" t="s">
        <v>14</v>
      </c>
      <c r="F278" s="14" t="s">
        <v>14</v>
      </c>
      <c r="G278" s="14" t="s">
        <v>14</v>
      </c>
      <c r="H278" s="14" t="s">
        <v>14</v>
      </c>
      <c r="I278" s="14" t="s">
        <v>14</v>
      </c>
      <c r="J278" s="14" t="s">
        <v>14</v>
      </c>
    </row>
    <row r="279" spans="1:10" x14ac:dyDescent="0.25">
      <c r="A279" s="10" t="s">
        <v>248</v>
      </c>
      <c r="B279" s="14" t="s">
        <v>14</v>
      </c>
      <c r="C279" s="14" t="s">
        <v>14</v>
      </c>
      <c r="D279" s="14" t="s">
        <v>14</v>
      </c>
      <c r="E279" s="14" t="s">
        <v>14</v>
      </c>
      <c r="F279" s="14" t="s">
        <v>14</v>
      </c>
      <c r="G279" s="14" t="s">
        <v>14</v>
      </c>
      <c r="H279" s="14" t="s">
        <v>14</v>
      </c>
      <c r="I279" s="14" t="s">
        <v>14</v>
      </c>
      <c r="J279" s="14" t="s">
        <v>14</v>
      </c>
    </row>
    <row r="280" spans="1:10" x14ac:dyDescent="0.25">
      <c r="A280" s="12" t="s">
        <v>48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31961000</v>
      </c>
      <c r="H280" s="7">
        <v>32612000</v>
      </c>
      <c r="I280" s="7">
        <v>4897000</v>
      </c>
      <c r="J280" s="7">
        <v>0</v>
      </c>
    </row>
    <row r="281" spans="1:10" x14ac:dyDescent="0.25">
      <c r="A281" s="12" t="s">
        <v>49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x14ac:dyDescent="0.25">
      <c r="A282" s="12" t="s">
        <v>249</v>
      </c>
      <c r="B282" s="5" t="s">
        <v>14</v>
      </c>
      <c r="C282" s="5" t="s">
        <v>14</v>
      </c>
      <c r="D282" s="5" t="s">
        <v>14</v>
      </c>
      <c r="E282" s="5" t="s">
        <v>14</v>
      </c>
      <c r="F282" s="5" t="s">
        <v>14</v>
      </c>
      <c r="G282" s="5" t="s">
        <v>14</v>
      </c>
      <c r="H282" s="5" t="s">
        <v>14</v>
      </c>
      <c r="I282" s="5" t="s">
        <v>14</v>
      </c>
      <c r="J282" s="5" t="s">
        <v>14</v>
      </c>
    </row>
    <row r="283" spans="1:10" x14ac:dyDescent="0.25">
      <c r="A283" s="10" t="s">
        <v>250</v>
      </c>
      <c r="B283" s="14" t="s">
        <v>14</v>
      </c>
      <c r="C283" s="14" t="s">
        <v>14</v>
      </c>
      <c r="D283" s="14" t="s">
        <v>14</v>
      </c>
      <c r="E283" s="14" t="s">
        <v>14</v>
      </c>
      <c r="F283" s="14" t="s">
        <v>14</v>
      </c>
      <c r="G283" s="14" t="s">
        <v>14</v>
      </c>
      <c r="H283" s="14" t="s">
        <v>14</v>
      </c>
      <c r="I283" s="14" t="s">
        <v>14</v>
      </c>
      <c r="J283" s="14" t="s">
        <v>14</v>
      </c>
    </row>
    <row r="284" spans="1:10" x14ac:dyDescent="0.25">
      <c r="A284" s="8" t="s">
        <v>251</v>
      </c>
      <c r="B284" s="15" t="s">
        <v>14</v>
      </c>
      <c r="C284" s="15" t="s">
        <v>14</v>
      </c>
      <c r="D284" s="15" t="s">
        <v>14</v>
      </c>
      <c r="E284" s="15" t="s">
        <v>14</v>
      </c>
      <c r="F284" s="15" t="s">
        <v>14</v>
      </c>
      <c r="G284" s="15" t="s">
        <v>14</v>
      </c>
      <c r="H284" s="15" t="s">
        <v>14</v>
      </c>
      <c r="I284" s="15" t="s">
        <v>14</v>
      </c>
      <c r="J284" s="15" t="s">
        <v>14</v>
      </c>
    </row>
    <row r="285" spans="1:10" x14ac:dyDescent="0.25">
      <c r="A285" s="10" t="s">
        <v>56</v>
      </c>
      <c r="B285" s="9">
        <v>104000</v>
      </c>
      <c r="C285" s="9">
        <v>19397000</v>
      </c>
      <c r="D285" s="9">
        <v>12354000</v>
      </c>
      <c r="E285" s="9">
        <v>73020000</v>
      </c>
      <c r="F285" s="9">
        <v>81425000</v>
      </c>
      <c r="G285" s="9">
        <v>47339000</v>
      </c>
      <c r="H285" s="9">
        <v>46803000</v>
      </c>
      <c r="I285" s="9">
        <v>74612000</v>
      </c>
      <c r="J285" s="9">
        <v>95283000</v>
      </c>
    </row>
    <row r="286" spans="1:10" x14ac:dyDescent="0.25">
      <c r="A286" s="12" t="s">
        <v>252</v>
      </c>
      <c r="B286" s="5" t="s">
        <v>14</v>
      </c>
      <c r="C286" s="5" t="s">
        <v>14</v>
      </c>
      <c r="D286" s="5" t="s">
        <v>14</v>
      </c>
      <c r="E286" s="5" t="s">
        <v>14</v>
      </c>
      <c r="F286" s="5" t="s">
        <v>14</v>
      </c>
      <c r="G286" s="5" t="s">
        <v>14</v>
      </c>
      <c r="H286" s="5" t="s">
        <v>14</v>
      </c>
      <c r="I286" s="5" t="s">
        <v>14</v>
      </c>
      <c r="J286" s="5" t="s">
        <v>14</v>
      </c>
    </row>
    <row r="287" spans="1:10" x14ac:dyDescent="0.25">
      <c r="A287" s="12" t="s">
        <v>253</v>
      </c>
      <c r="B287" s="5" t="s">
        <v>14</v>
      </c>
      <c r="C287" s="5" t="s">
        <v>14</v>
      </c>
      <c r="D287" s="5" t="s">
        <v>14</v>
      </c>
      <c r="E287" s="5" t="s">
        <v>14</v>
      </c>
      <c r="F287" s="5" t="s">
        <v>14</v>
      </c>
      <c r="G287" s="5" t="s">
        <v>14</v>
      </c>
      <c r="H287" s="5" t="s">
        <v>14</v>
      </c>
      <c r="I287" s="5" t="s">
        <v>14</v>
      </c>
      <c r="J287" s="5" t="s">
        <v>14</v>
      </c>
    </row>
    <row r="288" spans="1:10" x14ac:dyDescent="0.25">
      <c r="A288" s="12" t="s">
        <v>254</v>
      </c>
      <c r="B288" s="5" t="s">
        <v>14</v>
      </c>
      <c r="C288" s="5" t="s">
        <v>14</v>
      </c>
      <c r="D288" s="5" t="s">
        <v>14</v>
      </c>
      <c r="E288" s="5" t="s">
        <v>14</v>
      </c>
      <c r="F288" s="5" t="s">
        <v>14</v>
      </c>
      <c r="G288" s="5" t="s">
        <v>14</v>
      </c>
      <c r="H288" s="5" t="s">
        <v>14</v>
      </c>
      <c r="I288" s="5" t="s">
        <v>14</v>
      </c>
      <c r="J288" s="5" t="s">
        <v>14</v>
      </c>
    </row>
    <row r="289" spans="1:10" x14ac:dyDescent="0.25">
      <c r="A289" s="12" t="s">
        <v>255</v>
      </c>
      <c r="B289" s="5" t="s">
        <v>14</v>
      </c>
      <c r="C289" s="5" t="s">
        <v>14</v>
      </c>
      <c r="D289" s="5" t="s">
        <v>14</v>
      </c>
      <c r="E289" s="5" t="s">
        <v>14</v>
      </c>
      <c r="F289" s="5" t="s">
        <v>14</v>
      </c>
      <c r="G289" s="5" t="s">
        <v>14</v>
      </c>
      <c r="H289" s="5" t="s">
        <v>14</v>
      </c>
      <c r="I289" s="5" t="s">
        <v>14</v>
      </c>
      <c r="J289" s="5" t="s">
        <v>14</v>
      </c>
    </row>
    <row r="290" spans="1:10" x14ac:dyDescent="0.25">
      <c r="A290" s="12" t="s">
        <v>256</v>
      </c>
      <c r="B290" s="5" t="s">
        <v>14</v>
      </c>
      <c r="C290" s="5" t="s">
        <v>14</v>
      </c>
      <c r="D290" s="5" t="s">
        <v>14</v>
      </c>
      <c r="E290" s="5" t="s">
        <v>14</v>
      </c>
      <c r="F290" s="5" t="s">
        <v>14</v>
      </c>
      <c r="G290" s="5" t="s">
        <v>14</v>
      </c>
      <c r="H290" s="5" t="s">
        <v>14</v>
      </c>
      <c r="I290" s="5" t="s">
        <v>14</v>
      </c>
      <c r="J290" s="5" t="s">
        <v>14</v>
      </c>
    </row>
    <row r="291" spans="1:10" x14ac:dyDescent="0.25">
      <c r="A291" s="12" t="s">
        <v>17</v>
      </c>
      <c r="B291" s="5" t="s">
        <v>14</v>
      </c>
      <c r="C291" s="5" t="s">
        <v>14</v>
      </c>
      <c r="D291" s="5" t="s">
        <v>14</v>
      </c>
      <c r="E291" s="5" t="s">
        <v>14</v>
      </c>
      <c r="F291" s="5" t="s">
        <v>14</v>
      </c>
      <c r="G291" s="5" t="s">
        <v>14</v>
      </c>
      <c r="H291" s="5" t="s">
        <v>14</v>
      </c>
      <c r="I291" s="5" t="s">
        <v>14</v>
      </c>
      <c r="J291" s="5" t="s">
        <v>14</v>
      </c>
    </row>
    <row r="292" spans="1:10" x14ac:dyDescent="0.25">
      <c r="A292" s="10" t="s">
        <v>62</v>
      </c>
      <c r="B292" s="9">
        <v>2565544000</v>
      </c>
      <c r="C292" s="9">
        <v>2616897000</v>
      </c>
      <c r="D292" s="9">
        <v>2741962000</v>
      </c>
      <c r="E292" s="9">
        <v>3358914000</v>
      </c>
      <c r="F292" s="9">
        <v>2919881000</v>
      </c>
      <c r="G292" s="9">
        <v>3023091000</v>
      </c>
      <c r="H292" s="9">
        <v>3398325000</v>
      </c>
      <c r="I292" s="9">
        <v>3664744000</v>
      </c>
      <c r="J292" s="9">
        <v>4305084000</v>
      </c>
    </row>
    <row r="293" spans="1:10" x14ac:dyDescent="0.25">
      <c r="A293" s="10" t="s">
        <v>257</v>
      </c>
      <c r="B293" s="14" t="s">
        <v>14</v>
      </c>
      <c r="C293" s="14" t="s">
        <v>14</v>
      </c>
      <c r="D293" s="14" t="s">
        <v>14</v>
      </c>
      <c r="E293" s="14" t="s">
        <v>14</v>
      </c>
      <c r="F293" s="14" t="s">
        <v>14</v>
      </c>
      <c r="G293" s="14" t="s">
        <v>14</v>
      </c>
      <c r="H293" s="14" t="s">
        <v>14</v>
      </c>
      <c r="I293" s="14" t="s">
        <v>14</v>
      </c>
      <c r="J293" s="14" t="s">
        <v>14</v>
      </c>
    </row>
    <row r="294" spans="1:10" x14ac:dyDescent="0.25">
      <c r="A294" s="10" t="s">
        <v>258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14" t="s">
        <v>14</v>
      </c>
      <c r="I294" s="14" t="s">
        <v>14</v>
      </c>
      <c r="J294" s="14" t="s">
        <v>14</v>
      </c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 t="s">
        <v>70</v>
      </c>
      <c r="B296" s="5" t="s">
        <v>2</v>
      </c>
      <c r="C296" s="5" t="s">
        <v>2</v>
      </c>
      <c r="D296" s="5" t="s">
        <v>2</v>
      </c>
      <c r="E296" s="5" t="s">
        <v>2</v>
      </c>
      <c r="F296" s="5" t="s">
        <v>2</v>
      </c>
      <c r="G296" s="5" t="s">
        <v>2</v>
      </c>
      <c r="H296" s="5" t="s">
        <v>2</v>
      </c>
      <c r="I296" s="5" t="s">
        <v>2</v>
      </c>
      <c r="J296" s="5" t="s">
        <v>2</v>
      </c>
    </row>
    <row r="297" spans="1:10" x14ac:dyDescent="0.25">
      <c r="A297" s="3" t="s">
        <v>71</v>
      </c>
      <c r="B297" s="7">
        <v>5785582000</v>
      </c>
      <c r="C297" s="7">
        <v>6035705000</v>
      </c>
      <c r="D297" s="7">
        <v>6289024000</v>
      </c>
      <c r="E297" s="7">
        <v>7990379000</v>
      </c>
      <c r="F297" s="7">
        <v>7057115000</v>
      </c>
      <c r="G297" s="7">
        <v>7922248000</v>
      </c>
      <c r="H297" s="7">
        <v>9019190000</v>
      </c>
      <c r="I297" s="7">
        <v>9375411000</v>
      </c>
      <c r="J297" s="7">
        <v>12411803000</v>
      </c>
    </row>
    <row r="298" spans="1:10" x14ac:dyDescent="0.25">
      <c r="A298" s="6" t="s">
        <v>72</v>
      </c>
      <c r="B298" s="9">
        <v>1808742000</v>
      </c>
      <c r="C298" s="9">
        <v>1834151000</v>
      </c>
      <c r="D298" s="9">
        <v>2237802000</v>
      </c>
      <c r="E298" s="9">
        <v>3088750000</v>
      </c>
      <c r="F298" s="9">
        <v>2521719000</v>
      </c>
      <c r="G298" s="9">
        <v>3060854000</v>
      </c>
      <c r="H298" s="9">
        <v>3261829000</v>
      </c>
      <c r="I298" s="9">
        <v>2583618000</v>
      </c>
      <c r="J298" s="9">
        <v>4352451000</v>
      </c>
    </row>
    <row r="299" spans="1:10" x14ac:dyDescent="0.25">
      <c r="A299" s="8" t="s">
        <v>85</v>
      </c>
      <c r="B299" s="11">
        <v>813129000</v>
      </c>
      <c r="C299" s="11">
        <v>671734000</v>
      </c>
      <c r="D299" s="11">
        <v>1034604000</v>
      </c>
      <c r="E299" s="11">
        <v>1549711000</v>
      </c>
      <c r="F299" s="11">
        <v>1166877000</v>
      </c>
      <c r="G299" s="11">
        <v>1110559000</v>
      </c>
      <c r="H299" s="11">
        <v>912955000</v>
      </c>
      <c r="I299" s="11">
        <v>629300000</v>
      </c>
      <c r="J299" s="11">
        <v>1907613000</v>
      </c>
    </row>
    <row r="300" spans="1:10" x14ac:dyDescent="0.25">
      <c r="A300" s="8" t="s">
        <v>88</v>
      </c>
      <c r="B300" s="11">
        <v>0</v>
      </c>
      <c r="C300" s="11">
        <v>40569000</v>
      </c>
      <c r="D300" s="11">
        <v>36440000</v>
      </c>
      <c r="E300" s="11">
        <v>134991000</v>
      </c>
      <c r="F300" s="11">
        <v>15931000</v>
      </c>
      <c r="G300" s="11">
        <v>241985000</v>
      </c>
      <c r="H300" s="11">
        <v>163194000</v>
      </c>
      <c r="I300" s="11">
        <v>19397000</v>
      </c>
      <c r="J300" s="11">
        <v>-49000</v>
      </c>
    </row>
    <row r="301" spans="1:10" x14ac:dyDescent="0.25">
      <c r="A301" s="8" t="s">
        <v>76</v>
      </c>
      <c r="B301" s="11">
        <v>598033000</v>
      </c>
      <c r="C301" s="11">
        <v>630470000</v>
      </c>
      <c r="D301" s="11">
        <v>818663000</v>
      </c>
      <c r="E301" s="11">
        <v>936491000</v>
      </c>
      <c r="F301" s="11">
        <v>856084000</v>
      </c>
      <c r="G301" s="11">
        <v>1056299000</v>
      </c>
      <c r="H301" s="11">
        <v>1316903000</v>
      </c>
      <c r="I301" s="11">
        <v>1126821000</v>
      </c>
      <c r="J301" s="11">
        <v>1463594000</v>
      </c>
    </row>
    <row r="302" spans="1:10" x14ac:dyDescent="0.25">
      <c r="A302" s="8" t="s">
        <v>259</v>
      </c>
      <c r="B302" s="15" t="s">
        <v>14</v>
      </c>
      <c r="C302" s="15" t="s">
        <v>14</v>
      </c>
      <c r="D302" s="15" t="s">
        <v>14</v>
      </c>
      <c r="E302" s="15" t="s">
        <v>14</v>
      </c>
      <c r="F302" s="15" t="s">
        <v>14</v>
      </c>
      <c r="G302" s="15" t="s">
        <v>14</v>
      </c>
      <c r="H302" s="15" t="s">
        <v>14</v>
      </c>
      <c r="I302" s="15" t="s">
        <v>14</v>
      </c>
      <c r="J302" s="15" t="s">
        <v>14</v>
      </c>
    </row>
    <row r="303" spans="1:10" x14ac:dyDescent="0.25">
      <c r="A303" s="8" t="s">
        <v>97</v>
      </c>
      <c r="B303" s="11">
        <v>25738000</v>
      </c>
      <c r="C303" s="11">
        <v>76145000</v>
      </c>
      <c r="D303" s="11">
        <v>31306000</v>
      </c>
      <c r="E303" s="11">
        <v>21166000</v>
      </c>
      <c r="F303" s="11">
        <v>10751000</v>
      </c>
      <c r="G303" s="11">
        <v>5436000</v>
      </c>
      <c r="H303" s="11">
        <v>99199000</v>
      </c>
      <c r="I303" s="11">
        <v>127147000</v>
      </c>
      <c r="J303" s="11">
        <v>89731000</v>
      </c>
    </row>
    <row r="304" spans="1:10" x14ac:dyDescent="0.25">
      <c r="A304" s="8" t="s">
        <v>100</v>
      </c>
      <c r="B304" s="11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</row>
    <row r="305" spans="1:10" x14ac:dyDescent="0.25">
      <c r="A305" s="8" t="s">
        <v>260</v>
      </c>
      <c r="B305" s="15" t="s">
        <v>14</v>
      </c>
      <c r="C305" s="15" t="s">
        <v>14</v>
      </c>
      <c r="D305" s="15" t="s">
        <v>14</v>
      </c>
      <c r="E305" s="15" t="s">
        <v>14</v>
      </c>
      <c r="F305" s="15" t="s">
        <v>14</v>
      </c>
      <c r="G305" s="15" t="s">
        <v>14</v>
      </c>
      <c r="H305" s="15" t="s">
        <v>14</v>
      </c>
      <c r="I305" s="15" t="s">
        <v>14</v>
      </c>
      <c r="J305" s="15" t="s">
        <v>14</v>
      </c>
    </row>
    <row r="306" spans="1:10" x14ac:dyDescent="0.25">
      <c r="A306" s="8" t="s">
        <v>261</v>
      </c>
      <c r="B306" s="15" t="s">
        <v>14</v>
      </c>
      <c r="C306" s="15" t="s">
        <v>14</v>
      </c>
      <c r="D306" s="15" t="s">
        <v>14</v>
      </c>
      <c r="E306" s="15" t="s">
        <v>14</v>
      </c>
      <c r="F306" s="15" t="s">
        <v>14</v>
      </c>
      <c r="G306" s="15" t="s">
        <v>14</v>
      </c>
      <c r="H306" s="15" t="s">
        <v>14</v>
      </c>
      <c r="I306" s="15" t="s">
        <v>14</v>
      </c>
      <c r="J306" s="15" t="s">
        <v>14</v>
      </c>
    </row>
    <row r="307" spans="1:10" x14ac:dyDescent="0.25">
      <c r="A307" s="6" t="s">
        <v>113</v>
      </c>
      <c r="B307" s="9">
        <v>2885930000</v>
      </c>
      <c r="C307" s="9">
        <v>2756394000</v>
      </c>
      <c r="D307" s="9">
        <v>2446719000</v>
      </c>
      <c r="E307" s="9">
        <v>2445139000</v>
      </c>
      <c r="F307" s="9">
        <v>2518319000</v>
      </c>
      <c r="G307" s="9">
        <v>2230889000</v>
      </c>
      <c r="H307" s="9">
        <v>2558834000</v>
      </c>
      <c r="I307" s="9">
        <v>3294817000</v>
      </c>
      <c r="J307" s="9">
        <v>4256591000</v>
      </c>
    </row>
    <row r="308" spans="1:10" x14ac:dyDescent="0.25">
      <c r="A308" s="8" t="s">
        <v>262</v>
      </c>
      <c r="B308" s="15" t="s">
        <v>14</v>
      </c>
      <c r="C308" s="15" t="s">
        <v>14</v>
      </c>
      <c r="D308" s="15" t="s">
        <v>14</v>
      </c>
      <c r="E308" s="15" t="s">
        <v>14</v>
      </c>
      <c r="F308" s="15" t="s">
        <v>14</v>
      </c>
      <c r="G308" s="15" t="s">
        <v>14</v>
      </c>
      <c r="H308" s="15" t="s">
        <v>14</v>
      </c>
      <c r="I308" s="15" t="s">
        <v>14</v>
      </c>
      <c r="J308" s="15" t="s">
        <v>14</v>
      </c>
    </row>
    <row r="309" spans="1:10" x14ac:dyDescent="0.25">
      <c r="A309" s="10" t="s">
        <v>115</v>
      </c>
      <c r="B309" s="9">
        <v>2187776000</v>
      </c>
      <c r="C309" s="9">
        <v>842457000</v>
      </c>
      <c r="D309" s="9">
        <v>648484000</v>
      </c>
      <c r="E309" s="9">
        <v>675738000</v>
      </c>
      <c r="F309" s="9">
        <v>1381843000</v>
      </c>
      <c r="G309" s="9">
        <v>1333735000</v>
      </c>
      <c r="H309" s="9">
        <v>1291758000</v>
      </c>
      <c r="I309" s="9">
        <v>1173173000</v>
      </c>
      <c r="J309" s="9">
        <v>1983098000</v>
      </c>
    </row>
    <row r="310" spans="1:10" x14ac:dyDescent="0.25">
      <c r="A310" s="10" t="s">
        <v>118</v>
      </c>
      <c r="B310" s="9">
        <v>0</v>
      </c>
      <c r="C310" s="9">
        <v>1218724000</v>
      </c>
      <c r="D310" s="9">
        <v>1172878000</v>
      </c>
      <c r="E310" s="9">
        <v>1054415000</v>
      </c>
      <c r="F310" s="9">
        <v>495434000</v>
      </c>
      <c r="G310" s="9">
        <v>156997000</v>
      </c>
      <c r="H310" s="9">
        <v>445798000</v>
      </c>
      <c r="I310" s="9">
        <v>1239713000</v>
      </c>
      <c r="J310" s="9">
        <v>1229727000</v>
      </c>
    </row>
    <row r="311" spans="1:10" x14ac:dyDescent="0.25">
      <c r="A311" s="10" t="s">
        <v>131</v>
      </c>
      <c r="B311" s="9">
        <v>406177000</v>
      </c>
      <c r="C311" s="9">
        <v>431062000</v>
      </c>
      <c r="D311" s="9">
        <v>399373000</v>
      </c>
      <c r="E311" s="9">
        <v>510978000</v>
      </c>
      <c r="F311" s="9">
        <v>453807000</v>
      </c>
      <c r="G311" s="9">
        <v>521900000</v>
      </c>
      <c r="H311" s="9">
        <v>576203000</v>
      </c>
      <c r="I311" s="9">
        <v>599685000</v>
      </c>
      <c r="J311" s="9">
        <v>781352000</v>
      </c>
    </row>
    <row r="312" spans="1:10" x14ac:dyDescent="0.25">
      <c r="A312" s="10" t="s">
        <v>263</v>
      </c>
      <c r="B312" s="14" t="s">
        <v>14</v>
      </c>
      <c r="C312" s="14" t="s">
        <v>14</v>
      </c>
      <c r="D312" s="14" t="s">
        <v>14</v>
      </c>
      <c r="E312" s="14" t="s">
        <v>14</v>
      </c>
      <c r="F312" s="14" t="s">
        <v>14</v>
      </c>
      <c r="G312" s="14" t="s">
        <v>14</v>
      </c>
      <c r="H312" s="14" t="s">
        <v>14</v>
      </c>
      <c r="I312" s="14" t="s">
        <v>14</v>
      </c>
      <c r="J312" s="14" t="s">
        <v>14</v>
      </c>
    </row>
    <row r="313" spans="1:10" x14ac:dyDescent="0.25">
      <c r="A313" s="10" t="s">
        <v>158</v>
      </c>
      <c r="B313" s="14" t="s">
        <v>14</v>
      </c>
      <c r="C313" s="14" t="s">
        <v>14</v>
      </c>
      <c r="D313" s="14" t="s">
        <v>14</v>
      </c>
      <c r="E313" s="14" t="s">
        <v>14</v>
      </c>
      <c r="F313" s="14" t="s">
        <v>14</v>
      </c>
      <c r="G313" s="14" t="s">
        <v>14</v>
      </c>
      <c r="H313" s="14" t="s">
        <v>14</v>
      </c>
      <c r="I313" s="14" t="s">
        <v>14</v>
      </c>
      <c r="J313" s="14" t="s">
        <v>14</v>
      </c>
    </row>
    <row r="314" spans="1:10" x14ac:dyDescent="0.25">
      <c r="A314" s="10" t="s">
        <v>264</v>
      </c>
      <c r="B314" s="14" t="s">
        <v>14</v>
      </c>
      <c r="C314" s="14" t="s">
        <v>14</v>
      </c>
      <c r="D314" s="14" t="s">
        <v>14</v>
      </c>
      <c r="E314" s="14" t="s">
        <v>14</v>
      </c>
      <c r="F314" s="14" t="s">
        <v>14</v>
      </c>
      <c r="G314" s="14" t="s">
        <v>14</v>
      </c>
      <c r="H314" s="14" t="s">
        <v>14</v>
      </c>
      <c r="I314" s="14" t="s">
        <v>14</v>
      </c>
      <c r="J314" s="14" t="s">
        <v>14</v>
      </c>
    </row>
    <row r="315" spans="1:10" x14ac:dyDescent="0.25">
      <c r="A315" s="6" t="s">
        <v>265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</row>
    <row r="316" spans="1:10" x14ac:dyDescent="0.25">
      <c r="A316" s="6" t="s">
        <v>149</v>
      </c>
      <c r="B316" s="9">
        <v>177872000</v>
      </c>
      <c r="C316" s="9">
        <v>224079000</v>
      </c>
      <c r="D316" s="9">
        <v>221109000</v>
      </c>
      <c r="E316" s="9">
        <v>303043000</v>
      </c>
      <c r="F316" s="9">
        <v>233092000</v>
      </c>
      <c r="G316" s="9">
        <v>242652000</v>
      </c>
      <c r="H316" s="9">
        <v>276577000</v>
      </c>
      <c r="I316" s="9">
        <v>268498000</v>
      </c>
      <c r="J316" s="9">
        <v>340476000</v>
      </c>
    </row>
    <row r="317" spans="1:10" x14ac:dyDescent="0.25">
      <c r="A317" s="6" t="s">
        <v>150</v>
      </c>
      <c r="B317" s="9">
        <v>913038000</v>
      </c>
      <c r="C317" s="9">
        <v>1221081000</v>
      </c>
      <c r="D317" s="9">
        <v>1383394000</v>
      </c>
      <c r="E317" s="9">
        <v>2153447000</v>
      </c>
      <c r="F317" s="9">
        <v>1783985000</v>
      </c>
      <c r="G317" s="9">
        <v>2387853000</v>
      </c>
      <c r="H317" s="9">
        <v>2921950000</v>
      </c>
      <c r="I317" s="9">
        <v>3228478000</v>
      </c>
      <c r="J317" s="9">
        <v>3462285000</v>
      </c>
    </row>
    <row r="318" spans="1:10" x14ac:dyDescent="0.25">
      <c r="A318" s="8" t="s">
        <v>151</v>
      </c>
      <c r="B318" s="11">
        <v>650000000</v>
      </c>
      <c r="C318" s="11">
        <v>700000000</v>
      </c>
      <c r="D318" s="11">
        <v>700000000</v>
      </c>
      <c r="E318" s="11">
        <v>700000000</v>
      </c>
      <c r="F318" s="11">
        <v>700000000</v>
      </c>
      <c r="G318" s="11">
        <v>1277398000</v>
      </c>
      <c r="H318" s="11">
        <v>1407536000</v>
      </c>
      <c r="I318" s="11">
        <v>1576954000</v>
      </c>
      <c r="J318" s="11">
        <v>1576954000</v>
      </c>
    </row>
    <row r="319" spans="1:10" x14ac:dyDescent="0.25">
      <c r="A319" s="8" t="s">
        <v>152</v>
      </c>
      <c r="B319" s="11">
        <v>-3487000</v>
      </c>
      <c r="C319" s="11">
        <v>-2858000</v>
      </c>
      <c r="D319" s="11">
        <v>-3022000</v>
      </c>
      <c r="E319" s="11">
        <v>-2959000</v>
      </c>
      <c r="F319" s="11">
        <v>-5008000</v>
      </c>
      <c r="G319" s="11">
        <v>-11547000</v>
      </c>
      <c r="H319" s="11">
        <v>104068000</v>
      </c>
      <c r="I319" s="11">
        <v>-19849000</v>
      </c>
      <c r="J319" s="11">
        <v>-13366000</v>
      </c>
    </row>
    <row r="320" spans="1:10" x14ac:dyDescent="0.25">
      <c r="A320" s="8" t="s">
        <v>159</v>
      </c>
      <c r="B320" s="11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</row>
    <row r="321" spans="1:10" x14ac:dyDescent="0.25">
      <c r="A321" s="10" t="s">
        <v>266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</row>
    <row r="322" spans="1:10" x14ac:dyDescent="0.25">
      <c r="A322" s="10" t="s">
        <v>267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</row>
    <row r="323" spans="1:10" x14ac:dyDescent="0.25">
      <c r="A323" s="8" t="s">
        <v>160</v>
      </c>
      <c r="B323" s="11">
        <v>138417000</v>
      </c>
      <c r="C323" s="11">
        <v>207812000</v>
      </c>
      <c r="D323" s="11">
        <v>256546000</v>
      </c>
      <c r="E323" s="11">
        <v>292107000</v>
      </c>
      <c r="F323" s="11">
        <v>309893000</v>
      </c>
      <c r="G323" s="11">
        <v>319033000</v>
      </c>
      <c r="H323" s="11">
        <v>393156000</v>
      </c>
      <c r="I323" s="11">
        <v>606530000</v>
      </c>
      <c r="J323" s="11">
        <v>120921000</v>
      </c>
    </row>
    <row r="324" spans="1:10" x14ac:dyDescent="0.25">
      <c r="A324" s="10" t="s">
        <v>161</v>
      </c>
      <c r="B324" s="9">
        <v>50087000</v>
      </c>
      <c r="C324" s="9">
        <v>60012000</v>
      </c>
      <c r="D324" s="9">
        <v>63880000</v>
      </c>
      <c r="E324" s="9">
        <v>66702000</v>
      </c>
      <c r="F324" s="9">
        <v>68114000</v>
      </c>
      <c r="G324" s="9">
        <v>68816000</v>
      </c>
      <c r="H324" s="9">
        <v>79510000</v>
      </c>
      <c r="I324" s="9">
        <v>96648000</v>
      </c>
      <c r="J324" s="9">
        <v>96648000</v>
      </c>
    </row>
    <row r="325" spans="1:10" x14ac:dyDescent="0.25">
      <c r="A325" s="10" t="s">
        <v>162</v>
      </c>
      <c r="B325" s="9">
        <v>88330000</v>
      </c>
      <c r="C325" s="9">
        <v>147800000</v>
      </c>
      <c r="D325" s="9">
        <v>192666000</v>
      </c>
      <c r="E325" s="9">
        <v>225405000</v>
      </c>
      <c r="F325" s="9">
        <v>241779000</v>
      </c>
      <c r="G325" s="9">
        <v>219166000</v>
      </c>
      <c r="H325" s="9">
        <v>313646000</v>
      </c>
      <c r="I325" s="9">
        <v>509882000</v>
      </c>
      <c r="J325" s="9">
        <v>24273000</v>
      </c>
    </row>
    <row r="326" spans="1:10" x14ac:dyDescent="0.25">
      <c r="A326" s="10" t="s">
        <v>163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</row>
    <row r="327" spans="1:10" x14ac:dyDescent="0.25">
      <c r="A327" s="10" t="s">
        <v>164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</row>
    <row r="328" spans="1:10" x14ac:dyDescent="0.25">
      <c r="A328" s="10" t="s">
        <v>165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</row>
    <row r="329" spans="1:10" x14ac:dyDescent="0.25">
      <c r="A329" s="10" t="s">
        <v>166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</row>
    <row r="330" spans="1:10" x14ac:dyDescent="0.25">
      <c r="A330" s="10" t="s">
        <v>268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14" t="s">
        <v>14</v>
      </c>
      <c r="H330" s="9">
        <v>0</v>
      </c>
      <c r="I330" s="9">
        <v>0</v>
      </c>
      <c r="J330" s="9">
        <v>0</v>
      </c>
    </row>
    <row r="331" spans="1:10" x14ac:dyDescent="0.25">
      <c r="A331" s="8" t="s">
        <v>171</v>
      </c>
      <c r="B331" s="15" t="s">
        <v>14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14</v>
      </c>
      <c r="J331" s="15" t="s">
        <v>14</v>
      </c>
    </row>
    <row r="332" spans="1:10" x14ac:dyDescent="0.25">
      <c r="A332" s="10" t="s">
        <v>269</v>
      </c>
      <c r="B332" s="14" t="s">
        <v>14</v>
      </c>
      <c r="C332" s="14" t="s">
        <v>14</v>
      </c>
      <c r="D332" s="14" t="s">
        <v>14</v>
      </c>
      <c r="E332" s="14" t="s">
        <v>14</v>
      </c>
      <c r="F332" s="14" t="s">
        <v>14</v>
      </c>
      <c r="G332" s="14" t="s">
        <v>14</v>
      </c>
      <c r="H332" s="14" t="s">
        <v>14</v>
      </c>
      <c r="I332" s="14" t="s">
        <v>14</v>
      </c>
      <c r="J332" s="14" t="s">
        <v>14</v>
      </c>
    </row>
    <row r="333" spans="1:10" x14ac:dyDescent="0.25">
      <c r="A333" s="10" t="s">
        <v>172</v>
      </c>
      <c r="B333" s="14" t="s">
        <v>14</v>
      </c>
      <c r="C333" s="14" t="s">
        <v>14</v>
      </c>
      <c r="D333" s="14" t="s">
        <v>14</v>
      </c>
      <c r="E333" s="14" t="s">
        <v>14</v>
      </c>
      <c r="F333" s="14" t="s">
        <v>14</v>
      </c>
      <c r="G333" s="14" t="s">
        <v>14</v>
      </c>
      <c r="H333" s="14" t="s">
        <v>14</v>
      </c>
      <c r="I333" s="14" t="s">
        <v>14</v>
      </c>
      <c r="J333" s="14" t="s">
        <v>14</v>
      </c>
    </row>
    <row r="334" spans="1:10" x14ac:dyDescent="0.25">
      <c r="A334" s="10" t="s">
        <v>270</v>
      </c>
      <c r="B334" s="14" t="s">
        <v>14</v>
      </c>
      <c r="C334" s="14" t="s">
        <v>14</v>
      </c>
      <c r="D334" s="14" t="s">
        <v>14</v>
      </c>
      <c r="E334" s="14" t="s">
        <v>14</v>
      </c>
      <c r="F334" s="14" t="s">
        <v>14</v>
      </c>
      <c r="G334" s="14" t="s">
        <v>14</v>
      </c>
      <c r="H334" s="14" t="s">
        <v>14</v>
      </c>
      <c r="I334" s="14" t="s">
        <v>14</v>
      </c>
      <c r="J334" s="14" t="s">
        <v>14</v>
      </c>
    </row>
    <row r="335" spans="1:10" x14ac:dyDescent="0.25">
      <c r="A335" s="8" t="s">
        <v>170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</row>
    <row r="336" spans="1:10" x14ac:dyDescent="0.25">
      <c r="A336" s="8" t="s">
        <v>158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</row>
    <row r="337" spans="1:10" x14ac:dyDescent="0.25">
      <c r="A337" s="3" t="s">
        <v>271</v>
      </c>
      <c r="B337" s="5" t="s">
        <v>14</v>
      </c>
      <c r="C337" s="5" t="s">
        <v>14</v>
      </c>
      <c r="D337" s="5" t="s">
        <v>14</v>
      </c>
      <c r="E337" s="5" t="s">
        <v>14</v>
      </c>
      <c r="F337" s="5" t="s">
        <v>14</v>
      </c>
      <c r="G337" s="5" t="s">
        <v>14</v>
      </c>
      <c r="H337" s="5" t="s">
        <v>14</v>
      </c>
      <c r="I337" s="5" t="s">
        <v>14</v>
      </c>
      <c r="J337" s="5" t="s">
        <v>14</v>
      </c>
    </row>
    <row r="338" spans="1:10" x14ac:dyDescent="0.25">
      <c r="A338" s="3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5">
      <c r="A339" s="3" t="s">
        <v>174</v>
      </c>
      <c r="B339" s="5" t="s">
        <v>2</v>
      </c>
      <c r="C339" s="5" t="s">
        <v>2</v>
      </c>
      <c r="D339" s="5" t="s">
        <v>2</v>
      </c>
      <c r="E339" s="5" t="s">
        <v>2</v>
      </c>
      <c r="F339" s="5" t="s">
        <v>2</v>
      </c>
      <c r="G339" s="5" t="s">
        <v>2</v>
      </c>
      <c r="H339" s="5" t="s">
        <v>2</v>
      </c>
      <c r="I339" s="5" t="s">
        <v>2</v>
      </c>
      <c r="J339" s="5" t="s">
        <v>2</v>
      </c>
    </row>
    <row r="340" spans="1:10" x14ac:dyDescent="0.25">
      <c r="A340" s="3" t="s">
        <v>175</v>
      </c>
      <c r="B340" s="5">
        <v>12</v>
      </c>
      <c r="C340" s="5">
        <v>12</v>
      </c>
      <c r="D340" s="5">
        <v>12</v>
      </c>
      <c r="E340" s="5">
        <v>12</v>
      </c>
      <c r="F340" s="5">
        <v>12</v>
      </c>
      <c r="G340" s="5">
        <v>12</v>
      </c>
      <c r="H340" s="5">
        <v>12</v>
      </c>
      <c r="I340" s="5">
        <v>12</v>
      </c>
      <c r="J340" s="5">
        <v>12</v>
      </c>
    </row>
    <row r="341" spans="1:10" x14ac:dyDescent="0.25">
      <c r="A341" s="3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5">
      <c r="A342" s="3" t="s">
        <v>272</v>
      </c>
      <c r="B342" s="5" t="s">
        <v>14</v>
      </c>
      <c r="C342" s="5" t="s">
        <v>14</v>
      </c>
      <c r="D342" s="5" t="s">
        <v>14</v>
      </c>
      <c r="E342" s="5" t="s">
        <v>14</v>
      </c>
      <c r="F342" s="5" t="s">
        <v>14</v>
      </c>
      <c r="G342" s="5" t="s">
        <v>14</v>
      </c>
      <c r="H342" s="5" t="s">
        <v>14</v>
      </c>
      <c r="I342" s="5" t="s">
        <v>14</v>
      </c>
      <c r="J342" s="5" t="s">
        <v>14</v>
      </c>
    </row>
    <row r="343" spans="1:10" x14ac:dyDescent="0.25">
      <c r="A343" s="3" t="s">
        <v>273</v>
      </c>
      <c r="B343" s="5" t="s">
        <v>14</v>
      </c>
      <c r="C343" s="5" t="s">
        <v>14</v>
      </c>
      <c r="D343" s="5" t="s">
        <v>14</v>
      </c>
      <c r="E343" s="5" t="s">
        <v>14</v>
      </c>
      <c r="F343" s="5" t="s">
        <v>14</v>
      </c>
      <c r="G343" s="5" t="s">
        <v>14</v>
      </c>
      <c r="H343" s="5" t="s">
        <v>14</v>
      </c>
      <c r="I343" s="5" t="s">
        <v>14</v>
      </c>
      <c r="J343" s="5" t="s">
        <v>14</v>
      </c>
    </row>
    <row r="344" spans="1:10" x14ac:dyDescent="0.25">
      <c r="A344" s="3" t="s">
        <v>274</v>
      </c>
      <c r="B344" s="7">
        <v>5698513000</v>
      </c>
      <c r="C344" s="7">
        <v>6126493000</v>
      </c>
      <c r="D344" s="7">
        <v>5911677000</v>
      </c>
      <c r="E344" s="7">
        <v>6846456000</v>
      </c>
      <c r="F344" s="7">
        <v>6816454000</v>
      </c>
      <c r="G344" s="7">
        <v>7487940000</v>
      </c>
      <c r="H344" s="7">
        <v>9616299000</v>
      </c>
      <c r="I344" s="7">
        <v>10016395000</v>
      </c>
      <c r="J344" s="7">
        <v>8760568000</v>
      </c>
    </row>
    <row r="345" spans="1:10" x14ac:dyDescent="0.25">
      <c r="A345" s="3" t="s">
        <v>177</v>
      </c>
      <c r="B345" s="7">
        <v>5122210000</v>
      </c>
      <c r="C345" s="7">
        <v>5267393000</v>
      </c>
      <c r="D345" s="7">
        <v>5094348000</v>
      </c>
      <c r="E345" s="7">
        <v>5954428000</v>
      </c>
      <c r="F345" s="7">
        <v>5844666000</v>
      </c>
      <c r="G345" s="7">
        <v>6332962000</v>
      </c>
      <c r="H345" s="7">
        <v>8298023000</v>
      </c>
      <c r="I345" s="7">
        <v>8831177000</v>
      </c>
      <c r="J345" s="7">
        <v>8195255000</v>
      </c>
    </row>
    <row r="346" spans="1:10" x14ac:dyDescent="0.25">
      <c r="A346" s="3" t="s">
        <v>178</v>
      </c>
      <c r="B346" s="7">
        <v>576303000</v>
      </c>
      <c r="C346" s="7">
        <v>859100000</v>
      </c>
      <c r="D346" s="7">
        <v>817329000</v>
      </c>
      <c r="E346" s="7">
        <v>892028000</v>
      </c>
      <c r="F346" s="7">
        <v>971788000</v>
      </c>
      <c r="G346" s="7">
        <v>1154978000</v>
      </c>
      <c r="H346" s="7">
        <v>1318276000</v>
      </c>
      <c r="I346" s="7">
        <v>1185218000</v>
      </c>
      <c r="J346" s="7">
        <v>565313000</v>
      </c>
    </row>
    <row r="347" spans="1:10" x14ac:dyDescent="0.25">
      <c r="A347" s="3" t="s">
        <v>275</v>
      </c>
      <c r="B347" s="5" t="s">
        <v>14</v>
      </c>
      <c r="C347" s="5" t="s">
        <v>14</v>
      </c>
      <c r="D347" s="5" t="s">
        <v>14</v>
      </c>
      <c r="E347" s="5" t="s">
        <v>14</v>
      </c>
      <c r="F347" s="5" t="s">
        <v>14</v>
      </c>
      <c r="G347" s="5" t="s">
        <v>14</v>
      </c>
      <c r="H347" s="5" t="s">
        <v>14</v>
      </c>
      <c r="I347" s="5" t="s">
        <v>14</v>
      </c>
      <c r="J347" s="5" t="s">
        <v>14</v>
      </c>
    </row>
    <row r="348" spans="1:10" x14ac:dyDescent="0.25">
      <c r="A348" s="6" t="s">
        <v>276</v>
      </c>
      <c r="B348" s="9">
        <v>92699000</v>
      </c>
      <c r="C348" s="9">
        <v>129117000</v>
      </c>
      <c r="D348" s="9">
        <v>117190000</v>
      </c>
      <c r="E348" s="9">
        <v>155560000</v>
      </c>
      <c r="F348" s="9">
        <v>150931000</v>
      </c>
      <c r="G348" s="9">
        <v>162157000</v>
      </c>
      <c r="H348" s="9">
        <v>75359000</v>
      </c>
      <c r="I348" s="9">
        <v>53778000</v>
      </c>
      <c r="J348" s="9">
        <v>61812000</v>
      </c>
    </row>
    <row r="349" spans="1:10" x14ac:dyDescent="0.25">
      <c r="A349" s="6" t="s">
        <v>277</v>
      </c>
      <c r="B349" s="9">
        <v>215010000</v>
      </c>
      <c r="C349" s="9">
        <v>281617000</v>
      </c>
      <c r="D349" s="9">
        <v>274865000</v>
      </c>
      <c r="E349" s="9">
        <v>329182000</v>
      </c>
      <c r="F349" s="9">
        <v>384373000</v>
      </c>
      <c r="G349" s="9">
        <v>398808000</v>
      </c>
      <c r="H349" s="9">
        <v>494228000</v>
      </c>
      <c r="I349" s="9">
        <v>502054000</v>
      </c>
      <c r="J349" s="9">
        <v>501831000</v>
      </c>
    </row>
    <row r="350" spans="1:10" x14ac:dyDescent="0.25">
      <c r="A350" s="3" t="s">
        <v>278</v>
      </c>
      <c r="B350" s="5" t="s">
        <v>14</v>
      </c>
      <c r="C350" s="5" t="s">
        <v>14</v>
      </c>
      <c r="D350" s="5" t="s">
        <v>14</v>
      </c>
      <c r="E350" s="5" t="s">
        <v>14</v>
      </c>
      <c r="F350" s="5" t="s">
        <v>14</v>
      </c>
      <c r="G350" s="5" t="s">
        <v>14</v>
      </c>
      <c r="H350" s="5" t="s">
        <v>14</v>
      </c>
      <c r="I350" s="5" t="s">
        <v>14</v>
      </c>
      <c r="J350" s="5" t="s">
        <v>14</v>
      </c>
    </row>
    <row r="351" spans="1:10" x14ac:dyDescent="0.25">
      <c r="A351" s="6" t="s">
        <v>279</v>
      </c>
      <c r="B351" s="14" t="s">
        <v>14</v>
      </c>
      <c r="C351" s="14" t="s">
        <v>14</v>
      </c>
      <c r="D351" s="14" t="s">
        <v>14</v>
      </c>
      <c r="E351" s="14" t="s">
        <v>14</v>
      </c>
      <c r="F351" s="14" t="s">
        <v>14</v>
      </c>
      <c r="G351" s="14" t="s">
        <v>14</v>
      </c>
      <c r="H351" s="14" t="s">
        <v>14</v>
      </c>
      <c r="I351" s="14" t="s">
        <v>14</v>
      </c>
      <c r="J351" s="14" t="s">
        <v>14</v>
      </c>
    </row>
    <row r="352" spans="1:10" x14ac:dyDescent="0.25">
      <c r="A352" s="6" t="s">
        <v>280</v>
      </c>
      <c r="B352" s="14" t="s">
        <v>14</v>
      </c>
      <c r="C352" s="14" t="s">
        <v>14</v>
      </c>
      <c r="D352" s="14" t="s">
        <v>14</v>
      </c>
      <c r="E352" s="14" t="s">
        <v>14</v>
      </c>
      <c r="F352" s="14" t="s">
        <v>14</v>
      </c>
      <c r="G352" s="14" t="s">
        <v>14</v>
      </c>
      <c r="H352" s="14" t="s">
        <v>14</v>
      </c>
      <c r="I352" s="14" t="s">
        <v>14</v>
      </c>
      <c r="J352" s="14" t="s">
        <v>14</v>
      </c>
    </row>
    <row r="353" spans="1:10" x14ac:dyDescent="0.25">
      <c r="A353" s="3" t="s">
        <v>281</v>
      </c>
      <c r="B353" s="5" t="s">
        <v>14</v>
      </c>
      <c r="C353" s="5" t="s">
        <v>14</v>
      </c>
      <c r="D353" s="5" t="s">
        <v>14</v>
      </c>
      <c r="E353" s="5" t="s">
        <v>14</v>
      </c>
      <c r="F353" s="5" t="s">
        <v>14</v>
      </c>
      <c r="G353" s="5" t="s">
        <v>14</v>
      </c>
      <c r="H353" s="5" t="s">
        <v>14</v>
      </c>
      <c r="I353" s="5" t="s">
        <v>14</v>
      </c>
      <c r="J353" s="5" t="s">
        <v>14</v>
      </c>
    </row>
    <row r="354" spans="1:10" x14ac:dyDescent="0.25">
      <c r="A354" s="3" t="s">
        <v>282</v>
      </c>
      <c r="B354" s="5" t="s">
        <v>14</v>
      </c>
      <c r="C354" s="5" t="s">
        <v>14</v>
      </c>
      <c r="D354" s="5" t="s">
        <v>14</v>
      </c>
      <c r="E354" s="5" t="s">
        <v>14</v>
      </c>
      <c r="F354" s="5" t="s">
        <v>14</v>
      </c>
      <c r="G354" s="5" t="s">
        <v>14</v>
      </c>
      <c r="H354" s="5" t="s">
        <v>14</v>
      </c>
      <c r="I354" s="5" t="s">
        <v>14</v>
      </c>
      <c r="J354" s="5" t="s">
        <v>14</v>
      </c>
    </row>
    <row r="355" spans="1:10" x14ac:dyDescent="0.25">
      <c r="A355" s="6" t="s">
        <v>188</v>
      </c>
      <c r="B355" s="9">
        <v>47014000</v>
      </c>
      <c r="C355" s="9">
        <v>24709000</v>
      </c>
      <c r="D355" s="9">
        <v>35030000</v>
      </c>
      <c r="E355" s="9">
        <v>37250000</v>
      </c>
      <c r="F355" s="9">
        <v>57837000</v>
      </c>
      <c r="G355" s="9">
        <v>55160000</v>
      </c>
      <c r="H355" s="9">
        <v>14838000</v>
      </c>
      <c r="I355" s="9">
        <v>65344000</v>
      </c>
      <c r="J355" s="9">
        <v>33366000</v>
      </c>
    </row>
    <row r="356" spans="1:10" x14ac:dyDescent="0.25">
      <c r="A356" s="6" t="s">
        <v>283</v>
      </c>
      <c r="B356" s="14" t="s">
        <v>14</v>
      </c>
      <c r="C356" s="14" t="s">
        <v>14</v>
      </c>
      <c r="D356" s="14" t="s">
        <v>14</v>
      </c>
      <c r="E356" s="14" t="s">
        <v>14</v>
      </c>
      <c r="F356" s="14" t="s">
        <v>14</v>
      </c>
      <c r="G356" s="14" t="s">
        <v>14</v>
      </c>
      <c r="H356" s="14" t="s">
        <v>14</v>
      </c>
      <c r="I356" s="14" t="s">
        <v>14</v>
      </c>
      <c r="J356" s="14" t="s">
        <v>14</v>
      </c>
    </row>
    <row r="357" spans="1:10" x14ac:dyDescent="0.25">
      <c r="A357" s="8" t="s">
        <v>284</v>
      </c>
      <c r="B357" s="11">
        <v>207638000</v>
      </c>
      <c r="C357" s="11">
        <v>237633000</v>
      </c>
      <c r="D357" s="11">
        <v>291490000</v>
      </c>
      <c r="E357" s="11">
        <v>354010000</v>
      </c>
      <c r="F357" s="11">
        <v>402327000</v>
      </c>
      <c r="G357" s="11">
        <v>402368000</v>
      </c>
      <c r="H357" s="11">
        <v>235657000</v>
      </c>
      <c r="I357" s="11">
        <v>235248000</v>
      </c>
      <c r="J357" s="11">
        <v>266352000</v>
      </c>
    </row>
    <row r="358" spans="1:10" x14ac:dyDescent="0.25">
      <c r="A358" s="8" t="s">
        <v>285</v>
      </c>
      <c r="B358" s="15" t="s">
        <v>14</v>
      </c>
      <c r="C358" s="15" t="s">
        <v>14</v>
      </c>
      <c r="D358" s="15" t="s">
        <v>14</v>
      </c>
      <c r="E358" s="15" t="s">
        <v>14</v>
      </c>
      <c r="F358" s="15" t="s">
        <v>14</v>
      </c>
      <c r="G358" s="15" t="s">
        <v>14</v>
      </c>
      <c r="H358" s="15" t="s">
        <v>14</v>
      </c>
      <c r="I358" s="15" t="s">
        <v>14</v>
      </c>
      <c r="J358" s="15" t="s">
        <v>14</v>
      </c>
    </row>
    <row r="359" spans="1:10" x14ac:dyDescent="0.25">
      <c r="A359" s="3" t="s">
        <v>286</v>
      </c>
      <c r="B359" s="7">
        <v>0</v>
      </c>
      <c r="C359" s="7">
        <v>-13765000</v>
      </c>
      <c r="D359" s="7">
        <v>-13982000</v>
      </c>
      <c r="E359" s="7">
        <v>70648000</v>
      </c>
      <c r="F359" s="7">
        <v>-28799000</v>
      </c>
      <c r="G359" s="7">
        <v>-19957000</v>
      </c>
      <c r="H359" s="7">
        <v>-14457000</v>
      </c>
      <c r="I359" s="7">
        <v>-23902000</v>
      </c>
      <c r="J359" s="7">
        <v>2043000</v>
      </c>
    </row>
    <row r="360" spans="1:10" x14ac:dyDescent="0.25">
      <c r="A360" s="3" t="s">
        <v>287</v>
      </c>
      <c r="B360" s="5" t="s">
        <v>14</v>
      </c>
      <c r="C360" s="5" t="s">
        <v>14</v>
      </c>
      <c r="D360" s="5" t="s">
        <v>14</v>
      </c>
      <c r="E360" s="5" t="s">
        <v>14</v>
      </c>
      <c r="F360" s="5" t="s">
        <v>14</v>
      </c>
      <c r="G360" s="5" t="s">
        <v>14</v>
      </c>
      <c r="H360" s="5" t="s">
        <v>14</v>
      </c>
      <c r="I360" s="5" t="s">
        <v>14</v>
      </c>
      <c r="J360" s="5" t="s">
        <v>14</v>
      </c>
    </row>
    <row r="361" spans="1:10" x14ac:dyDescent="0.25">
      <c r="A361" s="3" t="s">
        <v>288</v>
      </c>
      <c r="B361" s="5" t="s">
        <v>14</v>
      </c>
      <c r="C361" s="5" t="s">
        <v>14</v>
      </c>
      <c r="D361" s="5" t="s">
        <v>14</v>
      </c>
      <c r="E361" s="5" t="s">
        <v>14</v>
      </c>
      <c r="F361" s="5" t="s">
        <v>14</v>
      </c>
      <c r="G361" s="5" t="s">
        <v>14</v>
      </c>
      <c r="H361" s="5" t="s">
        <v>14</v>
      </c>
      <c r="I361" s="5" t="s">
        <v>14</v>
      </c>
      <c r="J361" s="5" t="s">
        <v>14</v>
      </c>
    </row>
    <row r="362" spans="1:10" x14ac:dyDescent="0.25">
      <c r="A362" s="6" t="s">
        <v>289</v>
      </c>
      <c r="B362" s="14" t="s">
        <v>14</v>
      </c>
      <c r="C362" s="14" t="s">
        <v>14</v>
      </c>
      <c r="D362" s="14" t="s">
        <v>14</v>
      </c>
      <c r="E362" s="14" t="s">
        <v>14</v>
      </c>
      <c r="F362" s="14" t="s">
        <v>14</v>
      </c>
      <c r="G362" s="14" t="s">
        <v>14</v>
      </c>
      <c r="H362" s="14" t="s">
        <v>14</v>
      </c>
      <c r="I362" s="14" t="s">
        <v>14</v>
      </c>
      <c r="J362" s="14" t="s">
        <v>14</v>
      </c>
    </row>
    <row r="363" spans="1:10" x14ac:dyDescent="0.25">
      <c r="A363" s="6" t="s">
        <v>290</v>
      </c>
      <c r="B363" s="14" t="s">
        <v>14</v>
      </c>
      <c r="C363" s="14" t="s">
        <v>14</v>
      </c>
      <c r="D363" s="14" t="s">
        <v>14</v>
      </c>
      <c r="E363" s="14" t="s">
        <v>14</v>
      </c>
      <c r="F363" s="14" t="s">
        <v>14</v>
      </c>
      <c r="G363" s="14" t="s">
        <v>14</v>
      </c>
      <c r="H363" s="14" t="s">
        <v>14</v>
      </c>
      <c r="I363" s="14" t="s">
        <v>14</v>
      </c>
      <c r="J363" s="14" t="s">
        <v>14</v>
      </c>
    </row>
    <row r="364" spans="1:10" x14ac:dyDescent="0.25">
      <c r="A364" s="3" t="s">
        <v>190</v>
      </c>
      <c r="B364" s="7">
        <v>117886000</v>
      </c>
      <c r="C364" s="7">
        <v>240635000</v>
      </c>
      <c r="D364" s="7">
        <v>161243000</v>
      </c>
      <c r="E364" s="7">
        <v>132842000</v>
      </c>
      <c r="F364" s="7">
        <v>134832000</v>
      </c>
      <c r="G364" s="7">
        <v>149348000</v>
      </c>
      <c r="H364" s="7">
        <v>480674000</v>
      </c>
      <c r="I364" s="7">
        <v>506351000</v>
      </c>
      <c r="J364" s="7">
        <v>-417707000</v>
      </c>
    </row>
    <row r="365" spans="1:10" x14ac:dyDescent="0.25">
      <c r="A365" s="3" t="s">
        <v>291</v>
      </c>
      <c r="B365" s="7">
        <v>71974000</v>
      </c>
      <c r="C365" s="7">
        <v>81347000</v>
      </c>
      <c r="D365" s="7">
        <v>80014000</v>
      </c>
      <c r="E365" s="7">
        <v>68873000</v>
      </c>
      <c r="F365" s="7">
        <v>112502000</v>
      </c>
      <c r="G365" s="7">
        <v>136828000</v>
      </c>
      <c r="H365" s="7">
        <v>148043000</v>
      </c>
      <c r="I365" s="7">
        <v>178240000</v>
      </c>
      <c r="J365" s="7">
        <v>88573000</v>
      </c>
    </row>
    <row r="366" spans="1:10" x14ac:dyDescent="0.25">
      <c r="A366" s="3" t="s">
        <v>292</v>
      </c>
      <c r="B366" s="7">
        <v>-59794000</v>
      </c>
      <c r="C366" s="7">
        <v>-52012000</v>
      </c>
      <c r="D366" s="7">
        <v>-36803000</v>
      </c>
      <c r="E366" s="7">
        <v>-55880000</v>
      </c>
      <c r="F366" s="7">
        <v>-66800000</v>
      </c>
      <c r="G366" s="7">
        <v>-67689000</v>
      </c>
      <c r="H366" s="7">
        <v>26489000</v>
      </c>
      <c r="I366" s="7">
        <v>-93304000</v>
      </c>
      <c r="J366" s="7">
        <v>-86366000</v>
      </c>
    </row>
    <row r="367" spans="1:10" x14ac:dyDescent="0.25">
      <c r="A367" s="3" t="s">
        <v>293</v>
      </c>
      <c r="B367" s="5" t="s">
        <v>14</v>
      </c>
      <c r="C367" s="5" t="s">
        <v>14</v>
      </c>
      <c r="D367" s="5" t="s">
        <v>14</v>
      </c>
      <c r="E367" s="5" t="s">
        <v>14</v>
      </c>
      <c r="F367" s="5" t="s">
        <v>14</v>
      </c>
      <c r="G367" s="5" t="s">
        <v>14</v>
      </c>
      <c r="H367" s="5" t="s">
        <v>14</v>
      </c>
      <c r="I367" s="5" t="s">
        <v>14</v>
      </c>
      <c r="J367" s="5" t="s">
        <v>14</v>
      </c>
    </row>
    <row r="368" spans="1:10" x14ac:dyDescent="0.25">
      <c r="A368" s="6" t="s">
        <v>294</v>
      </c>
      <c r="B368" s="14" t="s">
        <v>14</v>
      </c>
      <c r="C368" s="14" t="s">
        <v>14</v>
      </c>
      <c r="D368" s="14" t="s">
        <v>14</v>
      </c>
      <c r="E368" s="14" t="s">
        <v>14</v>
      </c>
      <c r="F368" s="14" t="s">
        <v>14</v>
      </c>
      <c r="G368" s="14" t="s">
        <v>14</v>
      </c>
      <c r="H368" s="14" t="s">
        <v>14</v>
      </c>
      <c r="I368" s="14" t="s">
        <v>14</v>
      </c>
      <c r="J368" s="14" t="s">
        <v>14</v>
      </c>
    </row>
    <row r="369" spans="1:10" x14ac:dyDescent="0.25">
      <c r="A369" s="6" t="s">
        <v>295</v>
      </c>
      <c r="B369" s="14" t="s">
        <v>14</v>
      </c>
      <c r="C369" s="14" t="s">
        <v>14</v>
      </c>
      <c r="D369" s="14" t="s">
        <v>14</v>
      </c>
      <c r="E369" s="14" t="s">
        <v>14</v>
      </c>
      <c r="F369" s="14" t="s">
        <v>14</v>
      </c>
      <c r="G369" s="14" t="s">
        <v>14</v>
      </c>
      <c r="H369" s="14" t="s">
        <v>14</v>
      </c>
      <c r="I369" s="14" t="s">
        <v>14</v>
      </c>
      <c r="J369" s="14" t="s">
        <v>14</v>
      </c>
    </row>
    <row r="370" spans="1:10" x14ac:dyDescent="0.25">
      <c r="A370" s="3" t="s">
        <v>296</v>
      </c>
      <c r="B370" s="5" t="s">
        <v>14</v>
      </c>
      <c r="C370" s="5" t="s">
        <v>14</v>
      </c>
      <c r="D370" s="5" t="s">
        <v>14</v>
      </c>
      <c r="E370" s="5" t="s">
        <v>14</v>
      </c>
      <c r="F370" s="5" t="s">
        <v>14</v>
      </c>
      <c r="G370" s="5" t="s">
        <v>14</v>
      </c>
      <c r="H370" s="5" t="s">
        <v>14</v>
      </c>
      <c r="I370" s="5" t="s">
        <v>14</v>
      </c>
      <c r="J370" s="5" t="s">
        <v>14</v>
      </c>
    </row>
    <row r="371" spans="1:10" x14ac:dyDescent="0.25">
      <c r="A371" s="3" t="s">
        <v>199</v>
      </c>
      <c r="B371" s="7">
        <v>38842000</v>
      </c>
      <c r="C371" s="7">
        <v>40971000</v>
      </c>
      <c r="D371" s="7">
        <v>50255000</v>
      </c>
      <c r="E371" s="7">
        <v>70483000</v>
      </c>
      <c r="F371" s="7">
        <v>67599000</v>
      </c>
      <c r="G371" s="7">
        <v>73806000</v>
      </c>
      <c r="H371" s="7">
        <v>104817000</v>
      </c>
      <c r="I371" s="7">
        <v>83980000</v>
      </c>
      <c r="J371" s="7">
        <v>71866000</v>
      </c>
    </row>
    <row r="372" spans="1:10" x14ac:dyDescent="0.25">
      <c r="A372" s="3" t="s">
        <v>200</v>
      </c>
      <c r="B372" s="7">
        <v>66864000</v>
      </c>
      <c r="C372" s="7">
        <v>170329000</v>
      </c>
      <c r="D372" s="7">
        <v>67777000</v>
      </c>
      <c r="E372" s="7">
        <v>49366000</v>
      </c>
      <c r="F372" s="7">
        <v>21531000</v>
      </c>
      <c r="G372" s="7">
        <v>6403000</v>
      </c>
      <c r="H372" s="7">
        <v>201325000</v>
      </c>
      <c r="I372" s="7">
        <v>337435000</v>
      </c>
      <c r="J372" s="7">
        <v>-491780000</v>
      </c>
    </row>
    <row r="373" spans="1:10" x14ac:dyDescent="0.25">
      <c r="A373" s="3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5">
      <c r="A374" s="3" t="s">
        <v>297</v>
      </c>
      <c r="B374" s="5" t="s">
        <v>2</v>
      </c>
      <c r="C374" s="5" t="s">
        <v>2</v>
      </c>
      <c r="D374" s="5" t="s">
        <v>2</v>
      </c>
      <c r="E374" s="5" t="s">
        <v>2</v>
      </c>
      <c r="F374" s="5" t="s">
        <v>2</v>
      </c>
      <c r="G374" s="5" t="s">
        <v>2</v>
      </c>
      <c r="H374" s="5" t="s">
        <v>2</v>
      </c>
      <c r="I374" s="5" t="s">
        <v>2</v>
      </c>
      <c r="J374" s="5" t="s">
        <v>2</v>
      </c>
    </row>
    <row r="375" spans="1:10" x14ac:dyDescent="0.25">
      <c r="A375" s="3" t="s">
        <v>175</v>
      </c>
      <c r="B375" s="5">
        <v>12</v>
      </c>
      <c r="C375" s="5">
        <v>12</v>
      </c>
      <c r="D375" s="5">
        <v>12</v>
      </c>
      <c r="E375" s="5">
        <v>12</v>
      </c>
      <c r="F375" s="5">
        <v>12</v>
      </c>
      <c r="G375" s="5">
        <v>12</v>
      </c>
      <c r="H375" s="5">
        <v>12</v>
      </c>
      <c r="I375" s="5">
        <v>12</v>
      </c>
      <c r="J375" s="5">
        <v>12</v>
      </c>
    </row>
    <row r="376" spans="1:10" x14ac:dyDescent="0.25">
      <c r="A376" s="3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5">
      <c r="A377" s="3" t="s">
        <v>298</v>
      </c>
      <c r="B377" s="5" t="s">
        <v>14</v>
      </c>
      <c r="C377" s="5" t="s">
        <v>14</v>
      </c>
      <c r="D377" s="5" t="s">
        <v>14</v>
      </c>
      <c r="E377" s="5" t="s">
        <v>14</v>
      </c>
      <c r="F377" s="5" t="s">
        <v>14</v>
      </c>
      <c r="G377" s="5" t="s">
        <v>14</v>
      </c>
      <c r="H377" s="5" t="s">
        <v>14</v>
      </c>
      <c r="I377" s="5" t="s">
        <v>14</v>
      </c>
      <c r="J377" s="5" t="s">
        <v>14</v>
      </c>
    </row>
    <row r="378" spans="1:10" x14ac:dyDescent="0.25">
      <c r="A378" s="6" t="s">
        <v>299</v>
      </c>
      <c r="B378" s="14" t="s">
        <v>14</v>
      </c>
      <c r="C378" s="14" t="s">
        <v>14</v>
      </c>
      <c r="D378" s="14" t="s">
        <v>14</v>
      </c>
      <c r="E378" s="14" t="s">
        <v>14</v>
      </c>
      <c r="F378" s="14" t="s">
        <v>14</v>
      </c>
      <c r="G378" s="14" t="s">
        <v>14</v>
      </c>
      <c r="H378" s="14" t="s">
        <v>14</v>
      </c>
      <c r="I378" s="14" t="s">
        <v>14</v>
      </c>
      <c r="J378" s="14" t="s">
        <v>14</v>
      </c>
    </row>
    <row r="379" spans="1:10" x14ac:dyDescent="0.25">
      <c r="A379" s="8" t="s">
        <v>300</v>
      </c>
      <c r="B379" s="15" t="s">
        <v>14</v>
      </c>
      <c r="C379" s="15" t="s">
        <v>14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</row>
    <row r="380" spans="1:10" x14ac:dyDescent="0.25">
      <c r="A380" s="8" t="s">
        <v>301</v>
      </c>
      <c r="B380" s="15" t="s">
        <v>14</v>
      </c>
      <c r="C380" s="15" t="s">
        <v>14</v>
      </c>
      <c r="D380" s="15" t="s">
        <v>14</v>
      </c>
      <c r="E380" s="15" t="s">
        <v>14</v>
      </c>
      <c r="F380" s="15" t="s">
        <v>14</v>
      </c>
      <c r="G380" s="15" t="s">
        <v>14</v>
      </c>
      <c r="H380" s="15" t="s">
        <v>14</v>
      </c>
      <c r="I380" s="15" t="s">
        <v>14</v>
      </c>
      <c r="J380" s="15" t="s">
        <v>14</v>
      </c>
    </row>
    <row r="381" spans="1:10" x14ac:dyDescent="0.25">
      <c r="A381" s="10" t="s">
        <v>302</v>
      </c>
      <c r="B381" s="14" t="s">
        <v>14</v>
      </c>
      <c r="C381" s="14" t="s">
        <v>14</v>
      </c>
      <c r="D381" s="14" t="s">
        <v>14</v>
      </c>
      <c r="E381" s="14" t="s">
        <v>14</v>
      </c>
      <c r="F381" s="14" t="s">
        <v>14</v>
      </c>
      <c r="G381" s="14" t="s">
        <v>14</v>
      </c>
      <c r="H381" s="14" t="s">
        <v>14</v>
      </c>
      <c r="I381" s="14" t="s">
        <v>14</v>
      </c>
      <c r="J381" s="14" t="s">
        <v>14</v>
      </c>
    </row>
    <row r="382" spans="1:10" x14ac:dyDescent="0.25">
      <c r="A382" s="10" t="s">
        <v>303</v>
      </c>
      <c r="B382" s="14" t="s">
        <v>14</v>
      </c>
      <c r="C382" s="14" t="s">
        <v>14</v>
      </c>
      <c r="D382" s="14" t="s">
        <v>14</v>
      </c>
      <c r="E382" s="14" t="s">
        <v>14</v>
      </c>
      <c r="F382" s="14" t="s">
        <v>14</v>
      </c>
      <c r="G382" s="14" t="s">
        <v>14</v>
      </c>
      <c r="H382" s="14" t="s">
        <v>14</v>
      </c>
      <c r="I382" s="14" t="s">
        <v>14</v>
      </c>
      <c r="J382" s="14" t="s">
        <v>14</v>
      </c>
    </row>
    <row r="383" spans="1:10" x14ac:dyDescent="0.25">
      <c r="A383" s="10" t="s">
        <v>304</v>
      </c>
      <c r="B383" s="14" t="s">
        <v>14</v>
      </c>
      <c r="C383" s="14" t="s">
        <v>14</v>
      </c>
      <c r="D383" s="14" t="s">
        <v>14</v>
      </c>
      <c r="E383" s="14" t="s">
        <v>14</v>
      </c>
      <c r="F383" s="14" t="s">
        <v>14</v>
      </c>
      <c r="G383" s="14" t="s">
        <v>14</v>
      </c>
      <c r="H383" s="14" t="s">
        <v>14</v>
      </c>
      <c r="I383" s="14" t="s">
        <v>14</v>
      </c>
      <c r="J383" s="14" t="s">
        <v>14</v>
      </c>
    </row>
    <row r="384" spans="1:10" x14ac:dyDescent="0.25">
      <c r="A384" s="10" t="s">
        <v>305</v>
      </c>
      <c r="B384" s="14" t="s">
        <v>14</v>
      </c>
      <c r="C384" s="14" t="s">
        <v>14</v>
      </c>
      <c r="D384" s="14" t="s">
        <v>14</v>
      </c>
      <c r="E384" s="14" t="s">
        <v>14</v>
      </c>
      <c r="F384" s="14" t="s">
        <v>14</v>
      </c>
      <c r="G384" s="14" t="s">
        <v>14</v>
      </c>
      <c r="H384" s="14" t="s">
        <v>14</v>
      </c>
      <c r="I384" s="14" t="s">
        <v>14</v>
      </c>
      <c r="J384" s="14" t="s">
        <v>14</v>
      </c>
    </row>
    <row r="385" spans="1:10" x14ac:dyDescent="0.25">
      <c r="A385" s="10" t="s">
        <v>306</v>
      </c>
      <c r="B385" s="14" t="s">
        <v>14</v>
      </c>
      <c r="C385" s="14" t="s">
        <v>14</v>
      </c>
      <c r="D385" s="14" t="s">
        <v>14</v>
      </c>
      <c r="E385" s="14" t="s">
        <v>14</v>
      </c>
      <c r="F385" s="14" t="s">
        <v>14</v>
      </c>
      <c r="G385" s="14" t="s">
        <v>14</v>
      </c>
      <c r="H385" s="14" t="s">
        <v>14</v>
      </c>
      <c r="I385" s="14" t="s">
        <v>14</v>
      </c>
      <c r="J385" s="14" t="s">
        <v>14</v>
      </c>
    </row>
    <row r="386" spans="1:10" x14ac:dyDescent="0.25">
      <c r="A386" s="10" t="s">
        <v>307</v>
      </c>
      <c r="B386" s="14" t="s">
        <v>14</v>
      </c>
      <c r="C386" s="14" t="s">
        <v>14</v>
      </c>
      <c r="D386" s="14" t="s">
        <v>14</v>
      </c>
      <c r="E386" s="14" t="s">
        <v>14</v>
      </c>
      <c r="F386" s="14" t="s">
        <v>14</v>
      </c>
      <c r="G386" s="14" t="s">
        <v>14</v>
      </c>
      <c r="H386" s="14" t="s">
        <v>14</v>
      </c>
      <c r="I386" s="14" t="s">
        <v>14</v>
      </c>
      <c r="J386" s="14" t="s">
        <v>14</v>
      </c>
    </row>
    <row r="387" spans="1:10" x14ac:dyDescent="0.25">
      <c r="A387" s="10" t="s">
        <v>308</v>
      </c>
      <c r="B387" s="14" t="s">
        <v>14</v>
      </c>
      <c r="C387" s="14" t="s">
        <v>14</v>
      </c>
      <c r="D387" s="14" t="s">
        <v>14</v>
      </c>
      <c r="E387" s="14" t="s">
        <v>14</v>
      </c>
      <c r="F387" s="14" t="s">
        <v>14</v>
      </c>
      <c r="G387" s="14" t="s">
        <v>14</v>
      </c>
      <c r="H387" s="14" t="s">
        <v>14</v>
      </c>
      <c r="I387" s="14" t="s">
        <v>14</v>
      </c>
      <c r="J387" s="14" t="s">
        <v>14</v>
      </c>
    </row>
    <row r="388" spans="1:10" x14ac:dyDescent="0.25">
      <c r="A388" s="10" t="s">
        <v>309</v>
      </c>
      <c r="B388" s="14" t="s">
        <v>14</v>
      </c>
      <c r="C388" s="14" t="s">
        <v>14</v>
      </c>
      <c r="D388" s="14" t="s">
        <v>14</v>
      </c>
      <c r="E388" s="14" t="s">
        <v>14</v>
      </c>
      <c r="F388" s="14" t="s">
        <v>14</v>
      </c>
      <c r="G388" s="14" t="s">
        <v>14</v>
      </c>
      <c r="H388" s="14" t="s">
        <v>14</v>
      </c>
      <c r="I388" s="14" t="s">
        <v>14</v>
      </c>
      <c r="J388" s="14" t="s">
        <v>14</v>
      </c>
    </row>
    <row r="389" spans="1:10" x14ac:dyDescent="0.25">
      <c r="A389" s="10" t="s">
        <v>310</v>
      </c>
      <c r="B389" s="14" t="s">
        <v>14</v>
      </c>
      <c r="C389" s="14" t="s">
        <v>14</v>
      </c>
      <c r="D389" s="14" t="s">
        <v>14</v>
      </c>
      <c r="E389" s="14" t="s">
        <v>14</v>
      </c>
      <c r="F389" s="14" t="s">
        <v>14</v>
      </c>
      <c r="G389" s="14" t="s">
        <v>14</v>
      </c>
      <c r="H389" s="14" t="s">
        <v>14</v>
      </c>
      <c r="I389" s="14" t="s">
        <v>14</v>
      </c>
      <c r="J389" s="14" t="s">
        <v>14</v>
      </c>
    </row>
    <row r="390" spans="1:10" x14ac:dyDescent="0.25">
      <c r="A390" s="10" t="s">
        <v>311</v>
      </c>
      <c r="B390" s="14" t="s">
        <v>14</v>
      </c>
      <c r="C390" s="14" t="s">
        <v>14</v>
      </c>
      <c r="D390" s="14" t="s">
        <v>14</v>
      </c>
      <c r="E390" s="14" t="s">
        <v>14</v>
      </c>
      <c r="F390" s="14" t="s">
        <v>14</v>
      </c>
      <c r="G390" s="14" t="s">
        <v>14</v>
      </c>
      <c r="H390" s="14" t="s">
        <v>14</v>
      </c>
      <c r="I390" s="14" t="s">
        <v>14</v>
      </c>
      <c r="J390" s="14" t="s">
        <v>14</v>
      </c>
    </row>
    <row r="391" spans="1:10" x14ac:dyDescent="0.25">
      <c r="A391" s="10" t="s">
        <v>312</v>
      </c>
      <c r="B391" s="14" t="s">
        <v>14</v>
      </c>
      <c r="C391" s="14" t="s">
        <v>14</v>
      </c>
      <c r="D391" s="14" t="s">
        <v>14</v>
      </c>
      <c r="E391" s="14" t="s">
        <v>14</v>
      </c>
      <c r="F391" s="14" t="s">
        <v>14</v>
      </c>
      <c r="G391" s="14" t="s">
        <v>14</v>
      </c>
      <c r="H391" s="14" t="s">
        <v>14</v>
      </c>
      <c r="I391" s="14" t="s">
        <v>14</v>
      </c>
      <c r="J391" s="14" t="s">
        <v>14</v>
      </c>
    </row>
    <row r="392" spans="1:10" x14ac:dyDescent="0.25">
      <c r="A392" s="10" t="s">
        <v>313</v>
      </c>
      <c r="B392" s="14" t="s">
        <v>14</v>
      </c>
      <c r="C392" s="14" t="s">
        <v>14</v>
      </c>
      <c r="D392" s="14" t="s">
        <v>14</v>
      </c>
      <c r="E392" s="14" t="s">
        <v>14</v>
      </c>
      <c r="F392" s="14" t="s">
        <v>14</v>
      </c>
      <c r="G392" s="14" t="s">
        <v>14</v>
      </c>
      <c r="H392" s="14" t="s">
        <v>14</v>
      </c>
      <c r="I392" s="14" t="s">
        <v>14</v>
      </c>
      <c r="J392" s="14" t="s">
        <v>14</v>
      </c>
    </row>
    <row r="393" spans="1:10" x14ac:dyDescent="0.25">
      <c r="A393" s="10" t="s">
        <v>314</v>
      </c>
      <c r="B393" s="14" t="s">
        <v>14</v>
      </c>
      <c r="C393" s="14" t="s">
        <v>14</v>
      </c>
      <c r="D393" s="14" t="s">
        <v>14</v>
      </c>
      <c r="E393" s="14" t="s">
        <v>14</v>
      </c>
      <c r="F393" s="14" t="s">
        <v>14</v>
      </c>
      <c r="G393" s="14" t="s">
        <v>14</v>
      </c>
      <c r="H393" s="14" t="s">
        <v>14</v>
      </c>
      <c r="I393" s="14" t="s">
        <v>14</v>
      </c>
      <c r="J393" s="14" t="s">
        <v>14</v>
      </c>
    </row>
    <row r="394" spans="1:10" x14ac:dyDescent="0.25">
      <c r="A394" s="10" t="s">
        <v>315</v>
      </c>
      <c r="B394" s="14" t="s">
        <v>14</v>
      </c>
      <c r="C394" s="14" t="s">
        <v>14</v>
      </c>
      <c r="D394" s="14" t="s">
        <v>14</v>
      </c>
      <c r="E394" s="14" t="s">
        <v>14</v>
      </c>
      <c r="F394" s="14" t="s">
        <v>14</v>
      </c>
      <c r="G394" s="14" t="s">
        <v>14</v>
      </c>
      <c r="H394" s="14" t="s">
        <v>14</v>
      </c>
      <c r="I394" s="14" t="s">
        <v>14</v>
      </c>
      <c r="J394" s="14" t="s">
        <v>14</v>
      </c>
    </row>
    <row r="395" spans="1:10" x14ac:dyDescent="0.25">
      <c r="A395" s="6" t="s">
        <v>316</v>
      </c>
      <c r="B395" s="14" t="s">
        <v>14</v>
      </c>
      <c r="C395" s="14" t="s">
        <v>14</v>
      </c>
      <c r="D395" s="14" t="s">
        <v>14</v>
      </c>
      <c r="E395" s="14" t="s">
        <v>14</v>
      </c>
      <c r="F395" s="14" t="s">
        <v>14</v>
      </c>
      <c r="G395" s="14" t="s">
        <v>14</v>
      </c>
      <c r="H395" s="14" t="s">
        <v>14</v>
      </c>
      <c r="I395" s="14" t="s">
        <v>14</v>
      </c>
      <c r="J395" s="14" t="s">
        <v>14</v>
      </c>
    </row>
    <row r="396" spans="1:10" x14ac:dyDescent="0.25">
      <c r="A396" s="6" t="s">
        <v>317</v>
      </c>
      <c r="B396" s="14" t="s">
        <v>14</v>
      </c>
      <c r="C396" s="14" t="s">
        <v>14</v>
      </c>
      <c r="D396" s="14" t="s">
        <v>14</v>
      </c>
      <c r="E396" s="14" t="s">
        <v>14</v>
      </c>
      <c r="F396" s="14" t="s">
        <v>14</v>
      </c>
      <c r="G396" s="14" t="s">
        <v>14</v>
      </c>
      <c r="H396" s="14" t="s">
        <v>14</v>
      </c>
      <c r="I396" s="14" t="s">
        <v>14</v>
      </c>
      <c r="J396" s="14" t="s">
        <v>14</v>
      </c>
    </row>
    <row r="397" spans="1:10" x14ac:dyDescent="0.25">
      <c r="A397" s="8" t="s">
        <v>318</v>
      </c>
      <c r="B397" s="15" t="s">
        <v>14</v>
      </c>
      <c r="C397" s="15" t="s">
        <v>14</v>
      </c>
      <c r="D397" s="15" t="s">
        <v>14</v>
      </c>
      <c r="E397" s="15" t="s">
        <v>14</v>
      </c>
      <c r="F397" s="15" t="s">
        <v>14</v>
      </c>
      <c r="G397" s="15" t="s">
        <v>14</v>
      </c>
      <c r="H397" s="15" t="s">
        <v>14</v>
      </c>
      <c r="I397" s="15" t="s">
        <v>14</v>
      </c>
      <c r="J397" s="15" t="s">
        <v>14</v>
      </c>
    </row>
    <row r="398" spans="1:10" x14ac:dyDescent="0.25">
      <c r="A398" s="8" t="s">
        <v>226</v>
      </c>
      <c r="B398" s="15" t="s">
        <v>14</v>
      </c>
      <c r="C398" s="15" t="s">
        <v>14</v>
      </c>
      <c r="D398" s="15" t="s">
        <v>14</v>
      </c>
      <c r="E398" s="15" t="s">
        <v>14</v>
      </c>
      <c r="F398" s="15" t="s">
        <v>14</v>
      </c>
      <c r="G398" s="15" t="s">
        <v>14</v>
      </c>
      <c r="H398" s="15" t="s">
        <v>14</v>
      </c>
      <c r="I398" s="15" t="s">
        <v>14</v>
      </c>
      <c r="J398" s="15" t="s">
        <v>14</v>
      </c>
    </row>
    <row r="399" spans="1:10" x14ac:dyDescent="0.25">
      <c r="A399" s="8" t="s">
        <v>319</v>
      </c>
      <c r="B399" s="15" t="s">
        <v>14</v>
      </c>
      <c r="C399" s="15" t="s">
        <v>14</v>
      </c>
      <c r="D399" s="15" t="s">
        <v>14</v>
      </c>
      <c r="E399" s="15" t="s">
        <v>14</v>
      </c>
      <c r="F399" s="15" t="s">
        <v>14</v>
      </c>
      <c r="G399" s="15" t="s">
        <v>14</v>
      </c>
      <c r="H399" s="15" t="s">
        <v>14</v>
      </c>
      <c r="I399" s="15" t="s">
        <v>14</v>
      </c>
      <c r="J399" s="15" t="s">
        <v>14</v>
      </c>
    </row>
    <row r="400" spans="1:10" x14ac:dyDescent="0.25">
      <c r="A400" s="8" t="s">
        <v>320</v>
      </c>
      <c r="B400" s="15" t="s">
        <v>14</v>
      </c>
      <c r="C400" s="15" t="s">
        <v>14</v>
      </c>
      <c r="D400" s="15" t="s">
        <v>14</v>
      </c>
      <c r="E400" s="15" t="s">
        <v>14</v>
      </c>
      <c r="F400" s="15" t="s">
        <v>14</v>
      </c>
      <c r="G400" s="15" t="s">
        <v>14</v>
      </c>
      <c r="H400" s="15" t="s">
        <v>14</v>
      </c>
      <c r="I400" s="15" t="s">
        <v>14</v>
      </c>
      <c r="J400" s="15" t="s">
        <v>14</v>
      </c>
    </row>
    <row r="401" spans="1:10" x14ac:dyDescent="0.25">
      <c r="A401" s="8" t="s">
        <v>321</v>
      </c>
      <c r="B401" s="15" t="s">
        <v>14</v>
      </c>
      <c r="C401" s="15" t="s">
        <v>14</v>
      </c>
      <c r="D401" s="15" t="s">
        <v>14</v>
      </c>
      <c r="E401" s="15" t="s">
        <v>14</v>
      </c>
      <c r="F401" s="15" t="s">
        <v>14</v>
      </c>
      <c r="G401" s="15" t="s">
        <v>14</v>
      </c>
      <c r="H401" s="15" t="s">
        <v>14</v>
      </c>
      <c r="I401" s="15" t="s">
        <v>14</v>
      </c>
      <c r="J401" s="15" t="s">
        <v>14</v>
      </c>
    </row>
    <row r="402" spans="1:10" x14ac:dyDescent="0.25">
      <c r="A402" s="8" t="s">
        <v>322</v>
      </c>
      <c r="B402" s="15" t="s">
        <v>14</v>
      </c>
      <c r="C402" s="15" t="s">
        <v>14</v>
      </c>
      <c r="D402" s="15" t="s">
        <v>14</v>
      </c>
      <c r="E402" s="15" t="s">
        <v>14</v>
      </c>
      <c r="F402" s="15" t="s">
        <v>14</v>
      </c>
      <c r="G402" s="15" t="s">
        <v>14</v>
      </c>
      <c r="H402" s="15" t="s">
        <v>14</v>
      </c>
      <c r="I402" s="15" t="s">
        <v>14</v>
      </c>
      <c r="J402" s="15" t="s">
        <v>14</v>
      </c>
    </row>
    <row r="403" spans="1:10" x14ac:dyDescent="0.25">
      <c r="A403" s="8" t="s">
        <v>323</v>
      </c>
      <c r="B403" s="15" t="s">
        <v>14</v>
      </c>
      <c r="C403" s="15" t="s">
        <v>14</v>
      </c>
      <c r="D403" s="15" t="s">
        <v>14</v>
      </c>
      <c r="E403" s="15" t="s">
        <v>14</v>
      </c>
      <c r="F403" s="15" t="s">
        <v>14</v>
      </c>
      <c r="G403" s="15" t="s">
        <v>14</v>
      </c>
      <c r="H403" s="15" t="s">
        <v>14</v>
      </c>
      <c r="I403" s="15" t="s">
        <v>14</v>
      </c>
      <c r="J403" s="15" t="s">
        <v>14</v>
      </c>
    </row>
    <row r="404" spans="1:10" x14ac:dyDescent="0.25">
      <c r="A404" s="8" t="s">
        <v>324</v>
      </c>
      <c r="B404" s="15" t="s">
        <v>14</v>
      </c>
      <c r="C404" s="15" t="s">
        <v>14</v>
      </c>
      <c r="D404" s="15" t="s">
        <v>14</v>
      </c>
      <c r="E404" s="15" t="s">
        <v>14</v>
      </c>
      <c r="F404" s="15" t="s">
        <v>14</v>
      </c>
      <c r="G404" s="15" t="s">
        <v>14</v>
      </c>
      <c r="H404" s="15" t="s">
        <v>14</v>
      </c>
      <c r="I404" s="15" t="s">
        <v>14</v>
      </c>
      <c r="J404" s="15" t="s">
        <v>14</v>
      </c>
    </row>
    <row r="405" spans="1:10" x14ac:dyDescent="0.25">
      <c r="A405" s="8" t="s">
        <v>325</v>
      </c>
      <c r="B405" s="15" t="s">
        <v>14</v>
      </c>
      <c r="C405" s="15" t="s">
        <v>14</v>
      </c>
      <c r="D405" s="15" t="s">
        <v>14</v>
      </c>
      <c r="E405" s="15" t="s">
        <v>14</v>
      </c>
      <c r="F405" s="15" t="s">
        <v>14</v>
      </c>
      <c r="G405" s="15" t="s">
        <v>14</v>
      </c>
      <c r="H405" s="15" t="s">
        <v>14</v>
      </c>
      <c r="I405" s="15" t="s">
        <v>14</v>
      </c>
      <c r="J405" s="15" t="s">
        <v>14</v>
      </c>
    </row>
    <row r="406" spans="1:10" x14ac:dyDescent="0.25">
      <c r="A406" s="8" t="s">
        <v>326</v>
      </c>
      <c r="B406" s="15" t="s">
        <v>14</v>
      </c>
      <c r="C406" s="15" t="s">
        <v>14</v>
      </c>
      <c r="D406" s="15" t="s">
        <v>14</v>
      </c>
      <c r="E406" s="15" t="s">
        <v>14</v>
      </c>
      <c r="F406" s="15" t="s">
        <v>14</v>
      </c>
      <c r="G406" s="15" t="s">
        <v>14</v>
      </c>
      <c r="H406" s="15" t="s">
        <v>14</v>
      </c>
      <c r="I406" s="15" t="s">
        <v>14</v>
      </c>
      <c r="J406" s="15" t="s">
        <v>14</v>
      </c>
    </row>
    <row r="407" spans="1:10" x14ac:dyDescent="0.25">
      <c r="A407" s="3" t="s">
        <v>327</v>
      </c>
      <c r="B407" s="5" t="s">
        <v>14</v>
      </c>
      <c r="C407" s="5" t="s">
        <v>14</v>
      </c>
      <c r="D407" s="5" t="s">
        <v>14</v>
      </c>
      <c r="E407" s="5" t="s">
        <v>14</v>
      </c>
      <c r="F407" s="5" t="s">
        <v>14</v>
      </c>
      <c r="G407" s="5" t="s">
        <v>14</v>
      </c>
      <c r="H407" s="5" t="s">
        <v>14</v>
      </c>
      <c r="I407" s="5" t="s">
        <v>14</v>
      </c>
      <c r="J407" s="5" t="s">
        <v>14</v>
      </c>
    </row>
    <row r="408" spans="1:10" x14ac:dyDescent="0.25">
      <c r="A408" s="6" t="s">
        <v>328</v>
      </c>
      <c r="B408" s="14" t="s">
        <v>14</v>
      </c>
      <c r="C408" s="14" t="s">
        <v>14</v>
      </c>
      <c r="D408" s="14" t="s">
        <v>14</v>
      </c>
      <c r="E408" s="14" t="s">
        <v>14</v>
      </c>
      <c r="F408" s="14" t="s">
        <v>14</v>
      </c>
      <c r="G408" s="14" t="s">
        <v>14</v>
      </c>
      <c r="H408" s="14" t="s">
        <v>14</v>
      </c>
      <c r="I408" s="14" t="s">
        <v>14</v>
      </c>
      <c r="J408" s="14" t="s">
        <v>14</v>
      </c>
    </row>
    <row r="409" spans="1:10" x14ac:dyDescent="0.25">
      <c r="A409" s="8" t="s">
        <v>329</v>
      </c>
      <c r="B409" s="15" t="s">
        <v>14</v>
      </c>
      <c r="C409" s="15" t="s">
        <v>14</v>
      </c>
      <c r="D409" s="15" t="s">
        <v>14</v>
      </c>
      <c r="E409" s="15" t="s">
        <v>14</v>
      </c>
      <c r="F409" s="15" t="s">
        <v>14</v>
      </c>
      <c r="G409" s="15" t="s">
        <v>14</v>
      </c>
      <c r="H409" s="15" t="s">
        <v>14</v>
      </c>
      <c r="I409" s="15" t="s">
        <v>14</v>
      </c>
      <c r="J409" s="15" t="s">
        <v>14</v>
      </c>
    </row>
    <row r="410" spans="1:10" x14ac:dyDescent="0.25">
      <c r="A410" s="8" t="s">
        <v>330</v>
      </c>
      <c r="B410" s="15" t="s">
        <v>14</v>
      </c>
      <c r="C410" s="15" t="s">
        <v>14</v>
      </c>
      <c r="D410" s="15" t="s">
        <v>14</v>
      </c>
      <c r="E410" s="15" t="s">
        <v>14</v>
      </c>
      <c r="F410" s="15" t="s">
        <v>14</v>
      </c>
      <c r="G410" s="15" t="s">
        <v>14</v>
      </c>
      <c r="H410" s="15" t="s">
        <v>14</v>
      </c>
      <c r="I410" s="15" t="s">
        <v>14</v>
      </c>
      <c r="J410" s="15" t="s">
        <v>14</v>
      </c>
    </row>
    <row r="411" spans="1:10" x14ac:dyDescent="0.25">
      <c r="A411" s="8" t="s">
        <v>331</v>
      </c>
      <c r="B411" s="15" t="s">
        <v>14</v>
      </c>
      <c r="C411" s="15" t="s">
        <v>14</v>
      </c>
      <c r="D411" s="15" t="s">
        <v>14</v>
      </c>
      <c r="E411" s="15" t="s">
        <v>14</v>
      </c>
      <c r="F411" s="15" t="s">
        <v>14</v>
      </c>
      <c r="G411" s="15" t="s">
        <v>14</v>
      </c>
      <c r="H411" s="15" t="s">
        <v>14</v>
      </c>
      <c r="I411" s="15" t="s">
        <v>14</v>
      </c>
      <c r="J411" s="15" t="s">
        <v>14</v>
      </c>
    </row>
    <row r="412" spans="1:10" x14ac:dyDescent="0.25">
      <c r="A412" s="6" t="s">
        <v>332</v>
      </c>
      <c r="B412" s="14" t="s">
        <v>14</v>
      </c>
      <c r="C412" s="14" t="s">
        <v>14</v>
      </c>
      <c r="D412" s="14" t="s">
        <v>14</v>
      </c>
      <c r="E412" s="14" t="s">
        <v>14</v>
      </c>
      <c r="F412" s="14" t="s">
        <v>14</v>
      </c>
      <c r="G412" s="14" t="s">
        <v>14</v>
      </c>
      <c r="H412" s="14" t="s">
        <v>14</v>
      </c>
      <c r="I412" s="14" t="s">
        <v>14</v>
      </c>
      <c r="J412" s="14" t="s">
        <v>14</v>
      </c>
    </row>
    <row r="413" spans="1:10" x14ac:dyDescent="0.25">
      <c r="A413" s="6" t="s">
        <v>333</v>
      </c>
      <c r="B413" s="14" t="s">
        <v>14</v>
      </c>
      <c r="C413" s="14" t="s">
        <v>14</v>
      </c>
      <c r="D413" s="14" t="s">
        <v>14</v>
      </c>
      <c r="E413" s="14" t="s">
        <v>14</v>
      </c>
      <c r="F413" s="14" t="s">
        <v>14</v>
      </c>
      <c r="G413" s="14" t="s">
        <v>14</v>
      </c>
      <c r="H413" s="14" t="s">
        <v>14</v>
      </c>
      <c r="I413" s="14" t="s">
        <v>14</v>
      </c>
      <c r="J413" s="14" t="s">
        <v>14</v>
      </c>
    </row>
    <row r="414" spans="1:10" x14ac:dyDescent="0.25">
      <c r="A414" s="6" t="s">
        <v>334</v>
      </c>
      <c r="B414" s="14" t="s">
        <v>14</v>
      </c>
      <c r="C414" s="14" t="s">
        <v>14</v>
      </c>
      <c r="D414" s="14" t="s">
        <v>14</v>
      </c>
      <c r="E414" s="14" t="s">
        <v>14</v>
      </c>
      <c r="F414" s="14" t="s">
        <v>14</v>
      </c>
      <c r="G414" s="14" t="s">
        <v>14</v>
      </c>
      <c r="H414" s="14" t="s">
        <v>14</v>
      </c>
      <c r="I414" s="14" t="s">
        <v>14</v>
      </c>
      <c r="J414" s="14" t="s">
        <v>14</v>
      </c>
    </row>
    <row r="415" spans="1:10" x14ac:dyDescent="0.25">
      <c r="A415" s="6" t="s">
        <v>335</v>
      </c>
      <c r="B415" s="14" t="s">
        <v>14</v>
      </c>
      <c r="C415" s="14" t="s">
        <v>14</v>
      </c>
      <c r="D415" s="14" t="s">
        <v>14</v>
      </c>
      <c r="E415" s="14" t="s">
        <v>14</v>
      </c>
      <c r="F415" s="14" t="s">
        <v>14</v>
      </c>
      <c r="G415" s="14" t="s">
        <v>14</v>
      </c>
      <c r="H415" s="14" t="s">
        <v>14</v>
      </c>
      <c r="I415" s="14" t="s">
        <v>14</v>
      </c>
      <c r="J415" s="14" t="s">
        <v>14</v>
      </c>
    </row>
    <row r="416" spans="1:10" x14ac:dyDescent="0.25">
      <c r="A416" s="6" t="s">
        <v>336</v>
      </c>
      <c r="B416" s="14" t="s">
        <v>14</v>
      </c>
      <c r="C416" s="14" t="s">
        <v>14</v>
      </c>
      <c r="D416" s="14" t="s">
        <v>14</v>
      </c>
      <c r="E416" s="14" t="s">
        <v>14</v>
      </c>
      <c r="F416" s="14" t="s">
        <v>14</v>
      </c>
      <c r="G416" s="14" t="s">
        <v>14</v>
      </c>
      <c r="H416" s="14" t="s">
        <v>14</v>
      </c>
      <c r="I416" s="14" t="s">
        <v>14</v>
      </c>
      <c r="J416" s="14" t="s">
        <v>14</v>
      </c>
    </row>
    <row r="417" spans="1:10" x14ac:dyDescent="0.25">
      <c r="A417" s="6" t="s">
        <v>337</v>
      </c>
      <c r="B417" s="14" t="s">
        <v>14</v>
      </c>
      <c r="C417" s="14" t="s">
        <v>14</v>
      </c>
      <c r="D417" s="14" t="s">
        <v>14</v>
      </c>
      <c r="E417" s="14" t="s">
        <v>14</v>
      </c>
      <c r="F417" s="14" t="s">
        <v>14</v>
      </c>
      <c r="G417" s="14" t="s">
        <v>14</v>
      </c>
      <c r="H417" s="14" t="s">
        <v>14</v>
      </c>
      <c r="I417" s="14" t="s">
        <v>14</v>
      </c>
      <c r="J417" s="14" t="s">
        <v>14</v>
      </c>
    </row>
    <row r="418" spans="1:10" x14ac:dyDescent="0.25">
      <c r="A418" s="6" t="s">
        <v>338</v>
      </c>
      <c r="B418" s="14" t="s">
        <v>14</v>
      </c>
      <c r="C418" s="14" t="s">
        <v>14</v>
      </c>
      <c r="D418" s="14" t="s">
        <v>14</v>
      </c>
      <c r="E418" s="14" t="s">
        <v>14</v>
      </c>
      <c r="F418" s="14" t="s">
        <v>14</v>
      </c>
      <c r="G418" s="14" t="s">
        <v>14</v>
      </c>
      <c r="H418" s="14" t="s">
        <v>14</v>
      </c>
      <c r="I418" s="14" t="s">
        <v>14</v>
      </c>
      <c r="J418" s="14" t="s">
        <v>14</v>
      </c>
    </row>
    <row r="419" spans="1:10" x14ac:dyDescent="0.25">
      <c r="A419" s="6" t="s">
        <v>339</v>
      </c>
      <c r="B419" s="14" t="s">
        <v>14</v>
      </c>
      <c r="C419" s="14" t="s">
        <v>14</v>
      </c>
      <c r="D419" s="14" t="s">
        <v>14</v>
      </c>
      <c r="E419" s="14" t="s">
        <v>14</v>
      </c>
      <c r="F419" s="14" t="s">
        <v>14</v>
      </c>
      <c r="G419" s="14" t="s">
        <v>14</v>
      </c>
      <c r="H419" s="14" t="s">
        <v>14</v>
      </c>
      <c r="I419" s="14" t="s">
        <v>14</v>
      </c>
      <c r="J419" s="14" t="s">
        <v>14</v>
      </c>
    </row>
    <row r="420" spans="1:10" x14ac:dyDescent="0.25">
      <c r="A420" s="6" t="s">
        <v>340</v>
      </c>
      <c r="B420" s="14" t="s">
        <v>14</v>
      </c>
      <c r="C420" s="14" t="s">
        <v>14</v>
      </c>
      <c r="D420" s="14" t="s">
        <v>14</v>
      </c>
      <c r="E420" s="14" t="s">
        <v>14</v>
      </c>
      <c r="F420" s="14" t="s">
        <v>14</v>
      </c>
      <c r="G420" s="14" t="s">
        <v>14</v>
      </c>
      <c r="H420" s="14" t="s">
        <v>14</v>
      </c>
      <c r="I420" s="14" t="s">
        <v>14</v>
      </c>
      <c r="J420" s="14" t="s">
        <v>14</v>
      </c>
    </row>
    <row r="421" spans="1:10" x14ac:dyDescent="0.25">
      <c r="A421" s="6" t="s">
        <v>341</v>
      </c>
      <c r="B421" s="14" t="s">
        <v>14</v>
      </c>
      <c r="C421" s="14" t="s">
        <v>14</v>
      </c>
      <c r="D421" s="14" t="s">
        <v>14</v>
      </c>
      <c r="E421" s="14" t="s">
        <v>14</v>
      </c>
      <c r="F421" s="14" t="s">
        <v>14</v>
      </c>
      <c r="G421" s="14" t="s">
        <v>14</v>
      </c>
      <c r="H421" s="14" t="s">
        <v>14</v>
      </c>
      <c r="I421" s="14" t="s">
        <v>14</v>
      </c>
      <c r="J421" s="14" t="s">
        <v>14</v>
      </c>
    </row>
    <row r="422" spans="1:10" x14ac:dyDescent="0.25">
      <c r="A422" s="3" t="s">
        <v>342</v>
      </c>
      <c r="B422" s="5" t="s">
        <v>14</v>
      </c>
      <c r="C422" s="5" t="s">
        <v>14</v>
      </c>
      <c r="D422" s="5" t="s">
        <v>14</v>
      </c>
      <c r="E422" s="5" t="s">
        <v>14</v>
      </c>
      <c r="F422" s="5" t="s">
        <v>14</v>
      </c>
      <c r="G422" s="5" t="s">
        <v>14</v>
      </c>
      <c r="H422" s="5" t="s">
        <v>14</v>
      </c>
      <c r="I422" s="5" t="s">
        <v>14</v>
      </c>
      <c r="J422" s="5" t="s">
        <v>14</v>
      </c>
    </row>
    <row r="423" spans="1:10" x14ac:dyDescent="0.25">
      <c r="A423" s="3"/>
      <c r="B423" s="5"/>
      <c r="C423" s="5"/>
      <c r="D423" s="5"/>
      <c r="E423" s="5"/>
      <c r="F423" s="5"/>
      <c r="G423" s="5"/>
      <c r="H423" s="5"/>
      <c r="I423" s="5"/>
      <c r="J423" s="5"/>
    </row>
    <row r="424" spans="1:10" x14ac:dyDescent="0.25">
      <c r="A424" s="3" t="s">
        <v>343</v>
      </c>
      <c r="B424" s="5" t="s">
        <v>2</v>
      </c>
      <c r="C424" s="5" t="s">
        <v>2</v>
      </c>
      <c r="D424" s="5" t="s">
        <v>2</v>
      </c>
      <c r="E424" s="5" t="s">
        <v>2</v>
      </c>
      <c r="F424" s="5" t="s">
        <v>2</v>
      </c>
      <c r="G424" s="5" t="s">
        <v>2</v>
      </c>
      <c r="H424" s="5" t="s">
        <v>2</v>
      </c>
      <c r="I424" s="5" t="s">
        <v>2</v>
      </c>
      <c r="J424" s="5" t="s">
        <v>2</v>
      </c>
    </row>
    <row r="425" spans="1:10" x14ac:dyDescent="0.25">
      <c r="A425" s="3" t="s">
        <v>344</v>
      </c>
      <c r="B425" s="7">
        <v>94578000</v>
      </c>
      <c r="C425" s="7">
        <v>94608000</v>
      </c>
      <c r="D425" s="7">
        <v>94597000</v>
      </c>
      <c r="E425" s="7">
        <v>94597000</v>
      </c>
      <c r="F425" s="7">
        <v>94477000</v>
      </c>
      <c r="G425" s="7">
        <v>139645000</v>
      </c>
      <c r="H425" s="7">
        <v>149351000</v>
      </c>
      <c r="I425" s="7">
        <v>152365000</v>
      </c>
      <c r="J425" s="7">
        <v>152370000</v>
      </c>
    </row>
    <row r="426" spans="1:10" x14ac:dyDescent="0.25">
      <c r="A426" s="3"/>
      <c r="B426" s="5"/>
      <c r="C426" s="5"/>
      <c r="D426" s="5"/>
      <c r="E426" s="5"/>
      <c r="F426" s="5"/>
      <c r="G426" s="5"/>
      <c r="H426" s="5"/>
      <c r="I426" s="5"/>
      <c r="J426" s="5"/>
    </row>
    <row r="427" spans="1:10" x14ac:dyDescent="0.25">
      <c r="A427" s="3" t="s">
        <v>1</v>
      </c>
      <c r="B427" s="5" t="s">
        <v>2</v>
      </c>
      <c r="C427" s="5" t="s">
        <v>2</v>
      </c>
      <c r="D427" s="5" t="s">
        <v>2</v>
      </c>
      <c r="E427" s="5" t="s">
        <v>2</v>
      </c>
      <c r="F427" s="5" t="s">
        <v>2</v>
      </c>
      <c r="G427" s="5" t="s">
        <v>2</v>
      </c>
      <c r="H427" s="5" t="s">
        <v>2</v>
      </c>
      <c r="I427" s="5" t="s">
        <v>2</v>
      </c>
      <c r="J427" s="5" t="s">
        <v>2</v>
      </c>
    </row>
    <row r="428" spans="1:10" x14ac:dyDescent="0.25">
      <c r="A428" s="3" t="s">
        <v>345</v>
      </c>
      <c r="B428" s="16">
        <v>41274</v>
      </c>
      <c r="C428" s="16">
        <v>41639</v>
      </c>
      <c r="D428" s="16">
        <v>42004</v>
      </c>
      <c r="E428" s="16">
        <v>42369</v>
      </c>
      <c r="F428" s="16">
        <v>42735</v>
      </c>
      <c r="G428" s="16">
        <v>43100</v>
      </c>
      <c r="H428" s="16">
        <v>43465</v>
      </c>
      <c r="I428" s="16">
        <v>43830</v>
      </c>
      <c r="J428" s="16">
        <v>44196</v>
      </c>
    </row>
    <row r="429" spans="1:10" x14ac:dyDescent="0.25">
      <c r="A429" s="3" t="s">
        <v>346</v>
      </c>
      <c r="B429" s="16">
        <v>41274</v>
      </c>
      <c r="C429" s="16">
        <v>41639</v>
      </c>
      <c r="D429" s="16">
        <v>42004</v>
      </c>
      <c r="E429" s="16">
        <v>42369</v>
      </c>
      <c r="F429" s="16">
        <v>42735</v>
      </c>
      <c r="G429" s="16">
        <v>43100</v>
      </c>
      <c r="H429" s="16">
        <v>43465</v>
      </c>
      <c r="I429" s="16">
        <v>43830</v>
      </c>
      <c r="J429" s="16">
        <v>44196</v>
      </c>
    </row>
    <row r="430" spans="1:10" x14ac:dyDescent="0.25">
      <c r="A430" s="3" t="s">
        <v>347</v>
      </c>
      <c r="B430" s="16">
        <v>41333</v>
      </c>
      <c r="C430" s="16">
        <v>41740</v>
      </c>
      <c r="D430" s="16">
        <v>42060</v>
      </c>
      <c r="E430" s="16">
        <v>42425</v>
      </c>
      <c r="F430" s="16">
        <v>42821</v>
      </c>
      <c r="G430" s="16">
        <v>43151</v>
      </c>
      <c r="H430" s="16">
        <v>43535</v>
      </c>
      <c r="I430" s="16">
        <v>43895</v>
      </c>
      <c r="J430" s="16">
        <v>44258</v>
      </c>
    </row>
    <row r="431" spans="1:10" x14ac:dyDescent="0.25">
      <c r="A431" s="3" t="s">
        <v>348</v>
      </c>
      <c r="B431" s="16">
        <v>42774</v>
      </c>
      <c r="C431" s="16">
        <v>42774</v>
      </c>
      <c r="D431" s="16">
        <v>42774</v>
      </c>
      <c r="E431" s="16">
        <v>42774</v>
      </c>
      <c r="F431" s="16">
        <v>42821</v>
      </c>
      <c r="G431" s="16">
        <v>43152</v>
      </c>
      <c r="H431" s="16">
        <v>43560</v>
      </c>
      <c r="I431" s="16">
        <v>43896</v>
      </c>
      <c r="J431" s="16">
        <v>44258</v>
      </c>
    </row>
    <row r="432" spans="1:10" x14ac:dyDescent="0.25">
      <c r="A432" s="3" t="s">
        <v>349</v>
      </c>
      <c r="B432" s="5" t="s">
        <v>350</v>
      </c>
      <c r="C432" s="5" t="s">
        <v>350</v>
      </c>
      <c r="D432" s="5" t="s">
        <v>350</v>
      </c>
      <c r="E432" s="5" t="s">
        <v>350</v>
      </c>
      <c r="F432" s="5" t="s">
        <v>350</v>
      </c>
      <c r="G432" s="5" t="s">
        <v>350</v>
      </c>
      <c r="H432" s="5" t="s">
        <v>350</v>
      </c>
      <c r="I432" s="5" t="s">
        <v>350</v>
      </c>
      <c r="J432" s="5" t="s">
        <v>350</v>
      </c>
    </row>
    <row r="433" spans="1:10" x14ac:dyDescent="0.25">
      <c r="A433" s="3" t="s">
        <v>351</v>
      </c>
      <c r="B433" s="5" t="s">
        <v>352</v>
      </c>
      <c r="C433" s="5" t="s">
        <v>352</v>
      </c>
      <c r="D433" s="5" t="s">
        <v>352</v>
      </c>
      <c r="E433" s="5" t="s">
        <v>352</v>
      </c>
      <c r="F433" s="5" t="s">
        <v>352</v>
      </c>
      <c r="G433" s="5" t="s">
        <v>352</v>
      </c>
      <c r="H433" s="5" t="s">
        <v>352</v>
      </c>
      <c r="I433" s="5" t="s">
        <v>352</v>
      </c>
      <c r="J433" s="5" t="s">
        <v>352</v>
      </c>
    </row>
    <row r="434" spans="1:10" x14ac:dyDescent="0.25">
      <c r="A434" s="3" t="s">
        <v>3</v>
      </c>
      <c r="B434" s="5" t="s">
        <v>4</v>
      </c>
      <c r="C434" s="5" t="s">
        <v>4</v>
      </c>
      <c r="D434" s="5" t="s">
        <v>4</v>
      </c>
      <c r="E434" s="5" t="s">
        <v>4</v>
      </c>
      <c r="F434" s="5" t="s">
        <v>4</v>
      </c>
      <c r="G434" s="5" t="s">
        <v>4</v>
      </c>
      <c r="H434" s="5" t="s">
        <v>4</v>
      </c>
      <c r="I434" s="5" t="s">
        <v>4</v>
      </c>
      <c r="J434" s="5" t="s">
        <v>4</v>
      </c>
    </row>
    <row r="435" spans="1:10" x14ac:dyDescent="0.25">
      <c r="A435" s="3" t="s">
        <v>353</v>
      </c>
      <c r="B435" s="5" t="s">
        <v>354</v>
      </c>
      <c r="C435" s="5" t="s">
        <v>354</v>
      </c>
      <c r="D435" s="5" t="s">
        <v>354</v>
      </c>
      <c r="E435" s="5" t="s">
        <v>354</v>
      </c>
      <c r="F435" s="5" t="s">
        <v>354</v>
      </c>
      <c r="G435" s="5" t="s">
        <v>354</v>
      </c>
      <c r="H435" s="5" t="s">
        <v>354</v>
      </c>
      <c r="I435" s="5" t="s">
        <v>354</v>
      </c>
      <c r="J435" s="5" t="s">
        <v>354</v>
      </c>
    </row>
    <row r="436" spans="1:10" x14ac:dyDescent="0.25">
      <c r="A436" s="3" t="s">
        <v>355</v>
      </c>
      <c r="B436" s="5" t="s">
        <v>356</v>
      </c>
      <c r="C436" s="5" t="s">
        <v>356</v>
      </c>
      <c r="D436" s="5" t="s">
        <v>356</v>
      </c>
      <c r="E436" s="5" t="s">
        <v>356</v>
      </c>
      <c r="F436" s="5" t="s">
        <v>356</v>
      </c>
      <c r="G436" s="5" t="s">
        <v>356</v>
      </c>
      <c r="H436" s="5" t="s">
        <v>356</v>
      </c>
      <c r="I436" s="5" t="s">
        <v>356</v>
      </c>
      <c r="J436" s="5" t="s">
        <v>356</v>
      </c>
    </row>
  </sheetData>
  <pageMargins left="0.7" right="0.7" top="0.75" bottom="0.75" header="0.3" footer="0.3"/>
  <pageSetup paperSize="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workbookViewId="0">
      <pane xSplit="1" ySplit="4" topLeftCell="B206" activePane="bottomRight" state="frozen"/>
      <selection pane="topRight"/>
      <selection pane="bottomLeft"/>
      <selection pane="bottomRight" activeCell="A224" sqref="A224"/>
    </sheetView>
  </sheetViews>
  <sheetFormatPr defaultRowHeight="15" x14ac:dyDescent="0.25"/>
  <cols>
    <col min="1" max="1" width="24" customWidth="1"/>
    <col min="2" max="11" width="15.7109375" customWidth="1"/>
  </cols>
  <sheetData>
    <row r="1" spans="1:11" x14ac:dyDescent="0.25">
      <c r="A1" s="17" t="s">
        <v>357</v>
      </c>
      <c r="K1" s="1" t="s">
        <v>359</v>
      </c>
    </row>
    <row r="2" spans="1:11" x14ac:dyDescent="0.25">
      <c r="A2" s="17" t="s">
        <v>358</v>
      </c>
    </row>
    <row r="4" spans="1:11" x14ac:dyDescent="0.25">
      <c r="A4" s="2" t="s">
        <v>0</v>
      </c>
      <c r="B4" s="4">
        <v>41090</v>
      </c>
      <c r="C4" s="4">
        <v>41455</v>
      </c>
      <c r="D4" s="4">
        <v>41820</v>
      </c>
      <c r="E4" s="4">
        <v>42185</v>
      </c>
      <c r="F4" s="4">
        <v>42551</v>
      </c>
      <c r="G4" s="4">
        <v>42916</v>
      </c>
      <c r="H4" s="4">
        <v>43281</v>
      </c>
      <c r="I4" s="4">
        <v>43646</v>
      </c>
      <c r="J4" s="4">
        <v>44012</v>
      </c>
      <c r="K4" s="4">
        <v>44377</v>
      </c>
    </row>
    <row r="5" spans="1:11" x14ac:dyDescent="0.25">
      <c r="A5" s="3" t="s">
        <v>1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</row>
    <row r="6" spans="1:11" x14ac:dyDescent="0.25">
      <c r="A6" s="3" t="s">
        <v>3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</row>
    <row r="7" spans="1:11" x14ac:dyDescent="0.25">
      <c r="A7" s="3" t="s">
        <v>5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</row>
    <row r="8" spans="1:1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3" t="s">
        <v>7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</row>
    <row r="10" spans="1:11" x14ac:dyDescent="0.25">
      <c r="A10" s="3" t="s">
        <v>8</v>
      </c>
      <c r="B10" s="7">
        <v>5622655000</v>
      </c>
      <c r="C10" s="7">
        <v>5738041000</v>
      </c>
      <c r="D10" s="7">
        <v>5749224000</v>
      </c>
      <c r="E10" s="7">
        <v>6952245000</v>
      </c>
      <c r="F10" s="7">
        <v>7050217000</v>
      </c>
      <c r="G10" s="7">
        <v>7892553000</v>
      </c>
      <c r="H10" s="7">
        <v>8905486000</v>
      </c>
      <c r="I10" s="7">
        <v>9236750000</v>
      </c>
      <c r="J10" s="7">
        <v>11892587000</v>
      </c>
      <c r="K10" s="7">
        <v>13203278000</v>
      </c>
    </row>
    <row r="11" spans="1:11" x14ac:dyDescent="0.25">
      <c r="A11" s="6" t="s">
        <v>9</v>
      </c>
      <c r="B11" s="9">
        <v>2154465000</v>
      </c>
      <c r="C11" s="9">
        <v>2128986000</v>
      </c>
      <c r="D11" s="9">
        <v>2204325000</v>
      </c>
      <c r="E11" s="9">
        <v>2471978000</v>
      </c>
      <c r="F11" s="9">
        <v>2433892000</v>
      </c>
      <c r="G11" s="9">
        <v>3119217000</v>
      </c>
      <c r="H11" s="9">
        <v>3562287000</v>
      </c>
      <c r="I11" s="9">
        <v>3616236000</v>
      </c>
      <c r="J11" s="9">
        <v>4372292000</v>
      </c>
      <c r="K11" s="9">
        <v>6208374000</v>
      </c>
    </row>
    <row r="12" spans="1:11" x14ac:dyDescent="0.25">
      <c r="A12" s="8" t="s">
        <v>10</v>
      </c>
      <c r="B12" s="11">
        <v>324567000</v>
      </c>
      <c r="C12" s="11">
        <v>429078000</v>
      </c>
      <c r="D12" s="11">
        <v>612045000</v>
      </c>
      <c r="E12" s="11">
        <v>675073000</v>
      </c>
      <c r="F12" s="11">
        <v>509196000</v>
      </c>
      <c r="G12" s="11">
        <v>695515000</v>
      </c>
      <c r="H12" s="11">
        <v>312904000</v>
      </c>
      <c r="I12" s="11">
        <v>353039000</v>
      </c>
      <c r="J12" s="11">
        <v>1392574000</v>
      </c>
      <c r="K12" s="11">
        <v>1355258000</v>
      </c>
    </row>
    <row r="13" spans="1:11" x14ac:dyDescent="0.25">
      <c r="A13" s="8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x14ac:dyDescent="0.25">
      <c r="A14" s="10" t="s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12" t="s">
        <v>13</v>
      </c>
      <c r="B15" s="5" t="s">
        <v>14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13" t="s">
        <v>15</v>
      </c>
      <c r="B16" s="14" t="s">
        <v>14</v>
      </c>
      <c r="C16" s="14" t="s">
        <v>14</v>
      </c>
      <c r="D16" s="14" t="s">
        <v>14</v>
      </c>
      <c r="E16" s="14" t="s">
        <v>14</v>
      </c>
      <c r="F16" s="14" t="s">
        <v>14</v>
      </c>
      <c r="G16" s="14" t="s">
        <v>14</v>
      </c>
      <c r="H16" s="9">
        <v>0</v>
      </c>
      <c r="I16" s="9">
        <v>0</v>
      </c>
      <c r="J16" s="9">
        <v>0</v>
      </c>
      <c r="K16" s="9">
        <v>0</v>
      </c>
    </row>
    <row r="17" spans="1:11" x14ac:dyDescent="0.25">
      <c r="A17" s="13" t="s">
        <v>16</v>
      </c>
      <c r="B17" s="14" t="s">
        <v>14</v>
      </c>
      <c r="C17" s="14" t="s">
        <v>14</v>
      </c>
      <c r="D17" s="14" t="s">
        <v>14</v>
      </c>
      <c r="E17" s="14" t="s">
        <v>14</v>
      </c>
      <c r="F17" s="14" t="s">
        <v>14</v>
      </c>
      <c r="G17" s="14" t="s">
        <v>14</v>
      </c>
      <c r="H17" s="9">
        <v>0</v>
      </c>
      <c r="I17" s="9">
        <v>0</v>
      </c>
      <c r="J17" s="9">
        <v>0</v>
      </c>
      <c r="K17" s="9">
        <v>0</v>
      </c>
    </row>
    <row r="18" spans="1:11" x14ac:dyDescent="0.25">
      <c r="A18" s="13" t="s">
        <v>17</v>
      </c>
      <c r="B18" s="14" t="s">
        <v>14</v>
      </c>
      <c r="C18" s="14" t="s">
        <v>14</v>
      </c>
      <c r="D18" s="14" t="s">
        <v>14</v>
      </c>
      <c r="E18" s="14" t="s">
        <v>14</v>
      </c>
      <c r="F18" s="14" t="s">
        <v>14</v>
      </c>
      <c r="G18" s="14" t="s">
        <v>14</v>
      </c>
      <c r="H18" s="9">
        <v>0</v>
      </c>
      <c r="I18" s="9">
        <v>0</v>
      </c>
      <c r="J18" s="9">
        <v>0</v>
      </c>
      <c r="K18" s="9">
        <v>0</v>
      </c>
    </row>
    <row r="19" spans="1:11" x14ac:dyDescent="0.25">
      <c r="A19" s="12" t="s">
        <v>18</v>
      </c>
      <c r="B19" s="5" t="s">
        <v>14</v>
      </c>
      <c r="C19" s="5" t="s">
        <v>14</v>
      </c>
      <c r="D19" s="5" t="s">
        <v>14</v>
      </c>
      <c r="E19" s="5" t="s">
        <v>14</v>
      </c>
      <c r="F19" s="5" t="s">
        <v>14</v>
      </c>
      <c r="G19" s="5" t="s">
        <v>14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5">
      <c r="A20" s="10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 x14ac:dyDescent="0.25">
      <c r="A21" s="8" t="s">
        <v>20</v>
      </c>
      <c r="B21" s="11">
        <v>872586000</v>
      </c>
      <c r="C21" s="11">
        <v>903483000</v>
      </c>
      <c r="D21" s="11">
        <v>796724000</v>
      </c>
      <c r="E21" s="11">
        <v>896538000</v>
      </c>
      <c r="F21" s="11">
        <v>884992000</v>
      </c>
      <c r="G21" s="11">
        <v>1118783000</v>
      </c>
      <c r="H21" s="11">
        <v>1470644000</v>
      </c>
      <c r="I21" s="11">
        <v>1479216000</v>
      </c>
      <c r="J21" s="11">
        <v>966336000</v>
      </c>
      <c r="K21" s="11">
        <v>1749006000</v>
      </c>
    </row>
    <row r="22" spans="1:11" x14ac:dyDescent="0.25">
      <c r="A22" s="10" t="s">
        <v>21</v>
      </c>
      <c r="B22" s="9">
        <v>872586000</v>
      </c>
      <c r="C22" s="9">
        <v>903483000</v>
      </c>
      <c r="D22" s="9">
        <v>796724000</v>
      </c>
      <c r="E22" s="9">
        <v>896538000</v>
      </c>
      <c r="F22" s="9">
        <v>884992000</v>
      </c>
      <c r="G22" s="9">
        <v>1118783000</v>
      </c>
      <c r="H22" s="9">
        <v>1470644000</v>
      </c>
      <c r="I22" s="9">
        <v>1479216000</v>
      </c>
      <c r="J22" s="9">
        <v>966336000</v>
      </c>
      <c r="K22" s="9">
        <v>1749006000</v>
      </c>
    </row>
    <row r="23" spans="1:11" x14ac:dyDescent="0.25">
      <c r="A23" s="10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 x14ac:dyDescent="0.25">
      <c r="A24" s="8" t="s">
        <v>23</v>
      </c>
      <c r="B24" s="11">
        <v>736127000</v>
      </c>
      <c r="C24" s="11">
        <v>628443000</v>
      </c>
      <c r="D24" s="11">
        <v>646031000</v>
      </c>
      <c r="E24" s="11">
        <v>753593000</v>
      </c>
      <c r="F24" s="11">
        <v>825903000</v>
      </c>
      <c r="G24" s="11">
        <v>1056564000</v>
      </c>
      <c r="H24" s="11">
        <v>1441329000</v>
      </c>
      <c r="I24" s="11">
        <v>1399921000</v>
      </c>
      <c r="J24" s="11">
        <v>1659113000</v>
      </c>
      <c r="K24" s="11">
        <v>2474865000</v>
      </c>
    </row>
    <row r="25" spans="1:11" x14ac:dyDescent="0.25">
      <c r="A25" s="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x14ac:dyDescent="0.25">
      <c r="A26" s="8" t="s">
        <v>25</v>
      </c>
      <c r="B26" s="11">
        <v>147559000</v>
      </c>
      <c r="C26" s="11">
        <v>112154000</v>
      </c>
      <c r="D26" s="11">
        <v>104065000</v>
      </c>
      <c r="E26" s="11">
        <v>100338000</v>
      </c>
      <c r="F26" s="11">
        <v>107601000</v>
      </c>
      <c r="G26" s="11">
        <v>144112000</v>
      </c>
      <c r="H26" s="11">
        <v>207658000</v>
      </c>
      <c r="I26" s="11">
        <v>252380000</v>
      </c>
      <c r="J26" s="11">
        <v>200080000</v>
      </c>
      <c r="K26" s="11">
        <v>392709000</v>
      </c>
    </row>
    <row r="27" spans="1:11" x14ac:dyDescent="0.25">
      <c r="A27" s="10" t="s">
        <v>26</v>
      </c>
      <c r="B27" s="9">
        <v>147559000</v>
      </c>
      <c r="C27" s="9">
        <v>112154000</v>
      </c>
      <c r="D27" s="9">
        <v>104065000</v>
      </c>
      <c r="E27" s="9">
        <v>100338000</v>
      </c>
      <c r="F27" s="9">
        <v>107601000</v>
      </c>
      <c r="G27" s="9">
        <v>144112000</v>
      </c>
      <c r="H27" s="9">
        <v>207658000</v>
      </c>
      <c r="I27" s="9">
        <v>252380000</v>
      </c>
      <c r="J27" s="9">
        <v>200080000</v>
      </c>
      <c r="K27" s="9">
        <v>392709000</v>
      </c>
    </row>
    <row r="28" spans="1:11" x14ac:dyDescent="0.25">
      <c r="A28" s="8" t="s">
        <v>27</v>
      </c>
      <c r="B28" s="11">
        <v>20308000</v>
      </c>
      <c r="C28" s="11">
        <v>23159000</v>
      </c>
      <c r="D28" s="11">
        <v>24762000</v>
      </c>
      <c r="E28" s="11">
        <v>24819000</v>
      </c>
      <c r="F28" s="11">
        <v>24335000</v>
      </c>
      <c r="G28" s="11">
        <v>30864000</v>
      </c>
      <c r="H28" s="11">
        <v>25332000</v>
      </c>
      <c r="I28" s="11">
        <v>25991000</v>
      </c>
      <c r="J28" s="11">
        <v>48608000</v>
      </c>
      <c r="K28" s="11">
        <v>55849000</v>
      </c>
    </row>
    <row r="29" spans="1:11" x14ac:dyDescent="0.25">
      <c r="A29" s="8" t="s">
        <v>28</v>
      </c>
      <c r="B29" s="11">
        <v>53318000</v>
      </c>
      <c r="C29" s="11">
        <v>32669000</v>
      </c>
      <c r="D29" s="11">
        <v>20698000</v>
      </c>
      <c r="E29" s="11">
        <v>21617000</v>
      </c>
      <c r="F29" s="11">
        <v>81865000</v>
      </c>
      <c r="G29" s="11">
        <v>73379000</v>
      </c>
      <c r="H29" s="11">
        <v>104420000</v>
      </c>
      <c r="I29" s="11">
        <v>105689000</v>
      </c>
      <c r="J29" s="11">
        <v>105581000</v>
      </c>
      <c r="K29" s="11">
        <v>180687000</v>
      </c>
    </row>
    <row r="30" spans="1:11" x14ac:dyDescent="0.25">
      <c r="A30" s="10" t="s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 x14ac:dyDescent="0.25">
      <c r="A31" s="10" t="s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 x14ac:dyDescent="0.25">
      <c r="A32" s="10" t="s">
        <v>31</v>
      </c>
      <c r="B32" s="9">
        <v>53318000</v>
      </c>
      <c r="C32" s="9">
        <v>32669000</v>
      </c>
      <c r="D32" s="9">
        <v>20698000</v>
      </c>
      <c r="E32" s="9">
        <v>21617000</v>
      </c>
      <c r="F32" s="9">
        <v>81865000</v>
      </c>
      <c r="G32" s="9">
        <v>73379000</v>
      </c>
      <c r="H32" s="9">
        <v>104420000</v>
      </c>
      <c r="I32" s="9">
        <v>105689000</v>
      </c>
      <c r="J32" s="9">
        <v>105581000</v>
      </c>
      <c r="K32" s="9">
        <v>180687000</v>
      </c>
    </row>
    <row r="33" spans="1:11" x14ac:dyDescent="0.25">
      <c r="A33" s="6" t="s">
        <v>32</v>
      </c>
      <c r="B33" s="9">
        <v>3468190000</v>
      </c>
      <c r="C33" s="9">
        <v>3609055000</v>
      </c>
      <c r="D33" s="9">
        <v>3544899000</v>
      </c>
      <c r="E33" s="9">
        <v>4480267000</v>
      </c>
      <c r="F33" s="9">
        <v>4616325000</v>
      </c>
      <c r="G33" s="9">
        <v>4773336000</v>
      </c>
      <c r="H33" s="9">
        <v>5343199000</v>
      </c>
      <c r="I33" s="9">
        <v>5620514000</v>
      </c>
      <c r="J33" s="9">
        <v>7520295000</v>
      </c>
      <c r="K33" s="9">
        <v>6994904000</v>
      </c>
    </row>
    <row r="34" spans="1:11" x14ac:dyDescent="0.25">
      <c r="A34" s="8" t="s">
        <v>33</v>
      </c>
      <c r="B34" s="11">
        <v>125771000</v>
      </c>
      <c r="C34" s="11">
        <v>99304000</v>
      </c>
      <c r="D34" s="11">
        <v>62329000</v>
      </c>
      <c r="E34" s="11">
        <v>129901000</v>
      </c>
      <c r="F34" s="11">
        <v>220264000</v>
      </c>
      <c r="G34" s="11">
        <v>331402000</v>
      </c>
      <c r="H34" s="11">
        <v>357370000</v>
      </c>
      <c r="I34" s="11">
        <v>454774000</v>
      </c>
      <c r="J34" s="11">
        <v>656068000</v>
      </c>
      <c r="K34" s="11">
        <v>765840000</v>
      </c>
    </row>
    <row r="35" spans="1:11" x14ac:dyDescent="0.25">
      <c r="A35" s="10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</row>
    <row r="36" spans="1:11" x14ac:dyDescent="0.25">
      <c r="A36" s="12" t="s">
        <v>35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5">
      <c r="A37" s="13" t="s">
        <v>36</v>
      </c>
      <c r="B37" s="14" t="s">
        <v>14</v>
      </c>
      <c r="C37" s="14" t="s">
        <v>14</v>
      </c>
      <c r="D37" s="14" t="s">
        <v>14</v>
      </c>
      <c r="E37" s="14" t="s">
        <v>14</v>
      </c>
      <c r="F37" s="14" t="s">
        <v>14</v>
      </c>
      <c r="G37" s="14" t="s">
        <v>14</v>
      </c>
      <c r="H37" s="9">
        <v>0</v>
      </c>
      <c r="I37" s="9">
        <v>0</v>
      </c>
      <c r="J37" s="9">
        <v>0</v>
      </c>
      <c r="K37" s="9">
        <v>0</v>
      </c>
    </row>
    <row r="38" spans="1:11" x14ac:dyDescent="0.25">
      <c r="A38" s="13" t="s">
        <v>17</v>
      </c>
      <c r="B38" s="14" t="s">
        <v>14</v>
      </c>
      <c r="C38" s="14" t="s">
        <v>14</v>
      </c>
      <c r="D38" s="14" t="s">
        <v>14</v>
      </c>
      <c r="E38" s="14" t="s">
        <v>14</v>
      </c>
      <c r="F38" s="14" t="s">
        <v>14</v>
      </c>
      <c r="G38" s="14" t="s">
        <v>14</v>
      </c>
      <c r="H38" s="9">
        <v>0</v>
      </c>
      <c r="I38" s="9">
        <v>0</v>
      </c>
      <c r="J38" s="9">
        <v>0</v>
      </c>
      <c r="K38" s="9">
        <v>0</v>
      </c>
    </row>
    <row r="39" spans="1:11" x14ac:dyDescent="0.25">
      <c r="A39" s="12" t="s">
        <v>37</v>
      </c>
      <c r="B39" s="5" t="s">
        <v>14</v>
      </c>
      <c r="C39" s="5" t="s">
        <v>14</v>
      </c>
      <c r="D39" s="5" t="s">
        <v>14</v>
      </c>
      <c r="E39" s="5" t="s">
        <v>14</v>
      </c>
      <c r="F39" s="5" t="s">
        <v>14</v>
      </c>
      <c r="G39" s="5" t="s">
        <v>14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5">
      <c r="A40" s="10" t="s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1:11" x14ac:dyDescent="0.25">
      <c r="A41" s="10" t="s">
        <v>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</row>
    <row r="42" spans="1:11" x14ac:dyDescent="0.25">
      <c r="A42" s="12" t="s">
        <v>40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12" t="s">
        <v>41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5">
      <c r="A44" s="10" t="s">
        <v>42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</row>
    <row r="45" spans="1:11" x14ac:dyDescent="0.25">
      <c r="A45" s="10" t="s">
        <v>43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1" x14ac:dyDescent="0.25">
      <c r="A46" s="10" t="s">
        <v>44</v>
      </c>
      <c r="B46" s="9">
        <v>0</v>
      </c>
      <c r="C46" s="9">
        <v>33928000</v>
      </c>
      <c r="D46" s="9">
        <v>17745000</v>
      </c>
      <c r="E46" s="9">
        <v>75698000</v>
      </c>
      <c r="F46" s="9">
        <v>137360000</v>
      </c>
      <c r="G46" s="9">
        <v>209404000</v>
      </c>
      <c r="H46" s="9">
        <v>236634000</v>
      </c>
      <c r="I46" s="9">
        <v>328681000</v>
      </c>
      <c r="J46" s="9">
        <v>444780000</v>
      </c>
      <c r="K46" s="9">
        <v>355525000</v>
      </c>
    </row>
    <row r="47" spans="1:11" x14ac:dyDescent="0.25">
      <c r="A47" s="12" t="s">
        <v>45</v>
      </c>
      <c r="B47" s="7">
        <v>0</v>
      </c>
      <c r="C47" s="7">
        <v>33928000</v>
      </c>
      <c r="D47" s="5" t="s">
        <v>14</v>
      </c>
      <c r="E47" s="5" t="s">
        <v>14</v>
      </c>
      <c r="F47" s="5" t="s">
        <v>14</v>
      </c>
      <c r="G47" s="7">
        <v>209404000</v>
      </c>
      <c r="H47" s="7">
        <v>236634000</v>
      </c>
      <c r="I47" s="7">
        <v>328681000</v>
      </c>
      <c r="J47" s="7">
        <v>444780000</v>
      </c>
      <c r="K47" s="7">
        <v>355525000</v>
      </c>
    </row>
    <row r="48" spans="1:11" x14ac:dyDescent="0.25">
      <c r="A48" s="12" t="s">
        <v>17</v>
      </c>
      <c r="B48" s="7">
        <v>0</v>
      </c>
      <c r="C48" s="7">
        <v>0</v>
      </c>
      <c r="D48" s="5" t="s">
        <v>14</v>
      </c>
      <c r="E48" s="5" t="s">
        <v>14</v>
      </c>
      <c r="F48" s="5" t="s">
        <v>14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25">
      <c r="A49" s="10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</row>
    <row r="50" spans="1:11" x14ac:dyDescent="0.25">
      <c r="A50" s="10" t="s">
        <v>47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32138000</v>
      </c>
      <c r="H50" s="9">
        <v>33304000</v>
      </c>
      <c r="I50" s="9">
        <v>32571000</v>
      </c>
      <c r="J50" s="9">
        <v>0</v>
      </c>
      <c r="K50" s="9">
        <v>0</v>
      </c>
    </row>
    <row r="51" spans="1:11" x14ac:dyDescent="0.25">
      <c r="A51" s="12" t="s">
        <v>48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32571000</v>
      </c>
      <c r="J51" s="7">
        <v>0</v>
      </c>
      <c r="K51" s="7">
        <v>0</v>
      </c>
    </row>
    <row r="52" spans="1:11" x14ac:dyDescent="0.25">
      <c r="A52" s="12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12" t="s">
        <v>50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12" t="s">
        <v>51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32138000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25">
      <c r="A55" s="10" t="s">
        <v>52</v>
      </c>
      <c r="B55" s="9">
        <v>125771000</v>
      </c>
      <c r="C55" s="9">
        <v>65376000</v>
      </c>
      <c r="D55" s="9">
        <v>44584000</v>
      </c>
      <c r="E55" s="9">
        <v>54203000</v>
      </c>
      <c r="F55" s="9">
        <v>82904000</v>
      </c>
      <c r="G55" s="9">
        <v>89860000</v>
      </c>
      <c r="H55" s="9">
        <v>87432000</v>
      </c>
      <c r="I55" s="9">
        <v>93522000</v>
      </c>
      <c r="J55" s="9">
        <v>211288000</v>
      </c>
      <c r="K55" s="9">
        <v>410315000</v>
      </c>
    </row>
    <row r="56" spans="1:11" x14ac:dyDescent="0.25">
      <c r="A56" s="12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25">
      <c r="A57" s="12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25">
      <c r="A58" s="12" t="s">
        <v>17</v>
      </c>
      <c r="B58" s="7">
        <v>125771000</v>
      </c>
      <c r="C58" s="7">
        <v>65376000</v>
      </c>
      <c r="D58" s="7">
        <v>44584000</v>
      </c>
      <c r="E58" s="7">
        <v>54203000</v>
      </c>
      <c r="F58" s="7">
        <v>82904000</v>
      </c>
      <c r="G58" s="7">
        <v>89860000</v>
      </c>
      <c r="H58" s="7">
        <v>87432000</v>
      </c>
      <c r="I58" s="7">
        <v>93522000</v>
      </c>
      <c r="J58" s="7">
        <v>211288000</v>
      </c>
      <c r="K58" s="7">
        <v>410315000</v>
      </c>
    </row>
    <row r="59" spans="1:11" x14ac:dyDescent="0.25">
      <c r="A59" s="8" t="s">
        <v>55</v>
      </c>
      <c r="B59" s="11">
        <v>104000</v>
      </c>
      <c r="C59" s="11">
        <v>42318000</v>
      </c>
      <c r="D59" s="11">
        <v>13245000</v>
      </c>
      <c r="E59" s="11">
        <v>78816000</v>
      </c>
      <c r="F59" s="11">
        <v>98945000</v>
      </c>
      <c r="G59" s="11">
        <v>62593000</v>
      </c>
      <c r="H59" s="11">
        <v>43090000</v>
      </c>
      <c r="I59" s="11">
        <v>37768000</v>
      </c>
      <c r="J59" s="11">
        <v>93706000</v>
      </c>
      <c r="K59" s="11">
        <v>101125000</v>
      </c>
    </row>
    <row r="60" spans="1:11" x14ac:dyDescent="0.25">
      <c r="A60" s="10" t="s">
        <v>56</v>
      </c>
      <c r="B60" s="9">
        <v>104000</v>
      </c>
      <c r="C60" s="9">
        <v>42318000</v>
      </c>
      <c r="D60" s="9">
        <v>13245000</v>
      </c>
      <c r="E60" s="9">
        <v>78816000</v>
      </c>
      <c r="F60" s="9">
        <v>98945000</v>
      </c>
      <c r="G60" s="9">
        <v>62593000</v>
      </c>
      <c r="H60" s="9">
        <v>43090000</v>
      </c>
      <c r="I60" s="9">
        <v>37768000</v>
      </c>
      <c r="J60" s="9">
        <v>93706000</v>
      </c>
      <c r="K60" s="9">
        <v>101125000</v>
      </c>
    </row>
    <row r="61" spans="1:11" x14ac:dyDescent="0.25">
      <c r="A61" s="12" t="s">
        <v>57</v>
      </c>
      <c r="B61" s="7">
        <v>0</v>
      </c>
      <c r="C61" s="7">
        <v>42150000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77359000</v>
      </c>
    </row>
    <row r="62" spans="1:11" x14ac:dyDescent="0.25">
      <c r="A62" s="12" t="s">
        <v>58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25">
      <c r="A63" s="12" t="s">
        <v>59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42928000</v>
      </c>
      <c r="I63" s="7">
        <v>37768000</v>
      </c>
      <c r="J63" s="7">
        <v>93706000</v>
      </c>
      <c r="K63" s="7">
        <v>23593000</v>
      </c>
    </row>
    <row r="64" spans="1:11" x14ac:dyDescent="0.25">
      <c r="A64" s="12" t="s">
        <v>60</v>
      </c>
      <c r="B64" s="7">
        <v>104000</v>
      </c>
      <c r="C64" s="7">
        <v>168000</v>
      </c>
      <c r="D64" s="7">
        <v>13245000</v>
      </c>
      <c r="E64" s="7">
        <v>78816000</v>
      </c>
      <c r="F64" s="7">
        <v>98945000</v>
      </c>
      <c r="G64" s="7">
        <v>62593000</v>
      </c>
      <c r="H64" s="7">
        <v>162000</v>
      </c>
      <c r="I64" s="7">
        <v>0</v>
      </c>
      <c r="J64" s="7">
        <v>0</v>
      </c>
      <c r="K64" s="7">
        <v>173000</v>
      </c>
    </row>
    <row r="65" spans="1:11" x14ac:dyDescent="0.25">
      <c r="A65" s="10" t="s">
        <v>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5">
      <c r="A66" s="8" t="s">
        <v>62</v>
      </c>
      <c r="B66" s="11">
        <v>2450902000</v>
      </c>
      <c r="C66" s="11">
        <v>2493754000</v>
      </c>
      <c r="D66" s="11">
        <v>2506966000</v>
      </c>
      <c r="E66" s="11">
        <v>2933474000</v>
      </c>
      <c r="F66" s="11">
        <v>2910615000</v>
      </c>
      <c r="G66" s="11">
        <v>2960084000</v>
      </c>
      <c r="H66" s="11">
        <v>3289869000</v>
      </c>
      <c r="I66" s="11">
        <v>3476151000</v>
      </c>
      <c r="J66" s="11">
        <v>4436400000</v>
      </c>
      <c r="K66" s="11">
        <v>3990803000</v>
      </c>
    </row>
    <row r="67" spans="1:11" x14ac:dyDescent="0.25">
      <c r="A67" s="10" t="s">
        <v>63</v>
      </c>
      <c r="B67" s="9">
        <v>2450902000</v>
      </c>
      <c r="C67" s="9">
        <v>2493754000</v>
      </c>
      <c r="D67" s="9">
        <v>2506966000</v>
      </c>
      <c r="E67" s="9">
        <v>2933474000</v>
      </c>
      <c r="F67" s="9">
        <v>2910615000</v>
      </c>
      <c r="G67" s="9">
        <v>2960084000</v>
      </c>
      <c r="H67" s="9">
        <v>3289869000</v>
      </c>
      <c r="I67" s="9">
        <v>3404563000</v>
      </c>
      <c r="J67" s="9">
        <v>4372430000</v>
      </c>
      <c r="K67" s="9">
        <v>3939697000</v>
      </c>
    </row>
    <row r="68" spans="1:11" x14ac:dyDescent="0.25">
      <c r="A68" s="10" t="s">
        <v>64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71588000</v>
      </c>
      <c r="J68" s="9">
        <v>63970000</v>
      </c>
      <c r="K68" s="9">
        <v>51106000</v>
      </c>
    </row>
    <row r="69" spans="1:11" x14ac:dyDescent="0.25">
      <c r="A69" s="10" t="s">
        <v>65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1:11" x14ac:dyDescent="0.25">
      <c r="A70" s="8" t="s">
        <v>66</v>
      </c>
      <c r="B70" s="11">
        <v>891413000</v>
      </c>
      <c r="C70" s="11">
        <v>973679000</v>
      </c>
      <c r="D70" s="11">
        <v>962359000</v>
      </c>
      <c r="E70" s="11">
        <v>1338076000</v>
      </c>
      <c r="F70" s="11">
        <v>1386501000</v>
      </c>
      <c r="G70" s="11">
        <v>1419257000</v>
      </c>
      <c r="H70" s="11">
        <v>1652870000</v>
      </c>
      <c r="I70" s="11">
        <v>1651821000</v>
      </c>
      <c r="J70" s="11">
        <v>2334121000</v>
      </c>
      <c r="K70" s="11">
        <v>2137136000</v>
      </c>
    </row>
    <row r="71" spans="1:11" x14ac:dyDescent="0.25">
      <c r="A71" s="10" t="s">
        <v>67</v>
      </c>
      <c r="B71" s="9">
        <v>140066000</v>
      </c>
      <c r="C71" s="9">
        <v>973679000</v>
      </c>
      <c r="D71" s="9">
        <v>962359000</v>
      </c>
      <c r="E71" s="9">
        <v>1338076000</v>
      </c>
      <c r="F71" s="9">
        <v>1386501000</v>
      </c>
      <c r="G71" s="9">
        <v>1419257000</v>
      </c>
      <c r="H71" s="9">
        <v>1652870000</v>
      </c>
      <c r="I71" s="9">
        <v>1651821000</v>
      </c>
      <c r="J71" s="9">
        <v>2334121000</v>
      </c>
      <c r="K71" s="9">
        <v>2137136000</v>
      </c>
    </row>
    <row r="72" spans="1:11" x14ac:dyDescent="0.25">
      <c r="A72" s="12" t="s">
        <v>68</v>
      </c>
      <c r="B72" s="7">
        <v>4701000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25">
      <c r="A73" s="12" t="s">
        <v>17</v>
      </c>
      <c r="B73" s="7">
        <v>135365000</v>
      </c>
      <c r="C73" s="7">
        <v>973679000</v>
      </c>
      <c r="D73" s="7">
        <v>962359000</v>
      </c>
      <c r="E73" s="7">
        <v>1338076000</v>
      </c>
      <c r="F73" s="7">
        <v>1386501000</v>
      </c>
      <c r="G73" s="7">
        <v>1419257000</v>
      </c>
      <c r="H73" s="7">
        <v>1652870000</v>
      </c>
      <c r="I73" s="7">
        <v>1651821000</v>
      </c>
      <c r="J73" s="7">
        <v>2334121000</v>
      </c>
      <c r="K73" s="7">
        <v>2137136000</v>
      </c>
    </row>
    <row r="74" spans="1:11" x14ac:dyDescent="0.25">
      <c r="A74" s="10" t="s">
        <v>69</v>
      </c>
      <c r="B74" s="9">
        <v>751347000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</row>
    <row r="75" spans="1:11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3" t="s">
        <v>70</v>
      </c>
      <c r="B76" s="5" t="s">
        <v>2</v>
      </c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2</v>
      </c>
      <c r="K76" s="5" t="s">
        <v>2</v>
      </c>
    </row>
    <row r="77" spans="1:11" x14ac:dyDescent="0.25">
      <c r="A77" s="3" t="s">
        <v>71</v>
      </c>
      <c r="B77" s="7">
        <v>5622655000</v>
      </c>
      <c r="C77" s="7">
        <v>5738041000</v>
      </c>
      <c r="D77" s="7">
        <v>5749224000</v>
      </c>
      <c r="E77" s="7">
        <v>6952245000</v>
      </c>
      <c r="F77" s="7">
        <v>7050217000</v>
      </c>
      <c r="G77" s="7">
        <v>7892553000</v>
      </c>
      <c r="H77" s="7">
        <v>8905486000</v>
      </c>
      <c r="I77" s="7">
        <v>9236750000</v>
      </c>
      <c r="J77" s="7">
        <v>11892587000</v>
      </c>
      <c r="K77" s="7">
        <v>13203278000</v>
      </c>
    </row>
    <row r="78" spans="1:11" x14ac:dyDescent="0.25">
      <c r="A78" s="6" t="s">
        <v>72</v>
      </c>
      <c r="B78" s="9">
        <v>2060562000</v>
      </c>
      <c r="C78" s="9">
        <v>1649111000</v>
      </c>
      <c r="D78" s="9">
        <v>1968515000</v>
      </c>
      <c r="E78" s="9">
        <v>2804035000</v>
      </c>
      <c r="F78" s="9">
        <v>2543452000</v>
      </c>
      <c r="G78" s="9">
        <v>2889021000</v>
      </c>
      <c r="H78" s="9">
        <v>3205581000</v>
      </c>
      <c r="I78" s="9">
        <v>2853138000</v>
      </c>
      <c r="J78" s="9">
        <v>3602714000</v>
      </c>
      <c r="K78" s="9">
        <v>4781777000</v>
      </c>
    </row>
    <row r="79" spans="1:11" x14ac:dyDescent="0.25">
      <c r="A79" s="8" t="s">
        <v>73</v>
      </c>
      <c r="B79" s="11">
        <v>176245000</v>
      </c>
      <c r="C79" s="11">
        <v>167303000</v>
      </c>
      <c r="D79" s="11">
        <v>173088000</v>
      </c>
      <c r="E79" s="11">
        <v>155239000</v>
      </c>
      <c r="F79" s="11">
        <v>190418000</v>
      </c>
      <c r="G79" s="11">
        <v>232666000</v>
      </c>
      <c r="H79" s="11">
        <v>297134000</v>
      </c>
      <c r="I79" s="11">
        <v>326890000</v>
      </c>
      <c r="J79" s="11">
        <v>351672000</v>
      </c>
      <c r="K79" s="11">
        <v>441451000</v>
      </c>
    </row>
    <row r="80" spans="1:11" x14ac:dyDescent="0.25">
      <c r="A80" s="10" t="s">
        <v>74</v>
      </c>
      <c r="B80" s="9">
        <v>0</v>
      </c>
      <c r="C80" s="9">
        <v>167303000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1:11" x14ac:dyDescent="0.25">
      <c r="A81" s="10" t="s">
        <v>75</v>
      </c>
      <c r="B81" s="9">
        <v>176245000</v>
      </c>
      <c r="C81" s="9">
        <v>0</v>
      </c>
      <c r="D81" s="9">
        <v>173088000</v>
      </c>
      <c r="E81" s="9">
        <v>155239000</v>
      </c>
      <c r="F81" s="9">
        <v>190418000</v>
      </c>
      <c r="G81" s="9">
        <v>232666000</v>
      </c>
      <c r="H81" s="9">
        <v>297134000</v>
      </c>
      <c r="I81" s="9">
        <v>326890000</v>
      </c>
      <c r="J81" s="9">
        <v>351672000</v>
      </c>
      <c r="K81" s="9">
        <v>441451000</v>
      </c>
    </row>
    <row r="82" spans="1:11" x14ac:dyDescent="0.25">
      <c r="A82" s="8" t="s">
        <v>76</v>
      </c>
      <c r="B82" s="11">
        <v>668873000</v>
      </c>
      <c r="C82" s="11">
        <v>705718000</v>
      </c>
      <c r="D82" s="11">
        <v>749013000</v>
      </c>
      <c r="E82" s="11">
        <v>914167000</v>
      </c>
      <c r="F82" s="11">
        <v>806110000</v>
      </c>
      <c r="G82" s="11">
        <v>978150000</v>
      </c>
      <c r="H82" s="11">
        <v>1365829000</v>
      </c>
      <c r="I82" s="11">
        <v>1246438000</v>
      </c>
      <c r="J82" s="11">
        <v>919013000</v>
      </c>
      <c r="K82" s="11">
        <v>1700511000</v>
      </c>
    </row>
    <row r="83" spans="1:11" x14ac:dyDescent="0.25">
      <c r="A83" s="10" t="s">
        <v>77</v>
      </c>
      <c r="B83" s="9">
        <v>153644000</v>
      </c>
      <c r="C83" s="9">
        <v>166259000</v>
      </c>
      <c r="D83" s="9">
        <v>212776000</v>
      </c>
      <c r="E83" s="9">
        <v>156500000</v>
      </c>
      <c r="F83" s="9">
        <v>114607000</v>
      </c>
      <c r="G83" s="9">
        <v>143062000</v>
      </c>
      <c r="H83" s="9">
        <v>163551000</v>
      </c>
      <c r="I83" s="9">
        <v>181410000</v>
      </c>
      <c r="J83" s="9">
        <v>85994000</v>
      </c>
      <c r="K83" s="9">
        <v>271032000</v>
      </c>
    </row>
    <row r="84" spans="1:11" x14ac:dyDescent="0.25">
      <c r="A84" s="10" t="s">
        <v>78</v>
      </c>
      <c r="B84" s="9">
        <v>515229000</v>
      </c>
      <c r="C84" s="9">
        <v>539459000</v>
      </c>
      <c r="D84" s="9">
        <v>536237000</v>
      </c>
      <c r="E84" s="9">
        <v>757667000</v>
      </c>
      <c r="F84" s="9">
        <v>691503000</v>
      </c>
      <c r="G84" s="9">
        <v>835088000</v>
      </c>
      <c r="H84" s="9">
        <v>1202278000</v>
      </c>
      <c r="I84" s="9">
        <v>1065028000</v>
      </c>
      <c r="J84" s="9">
        <v>833019000</v>
      </c>
      <c r="K84" s="9">
        <v>1429479000</v>
      </c>
    </row>
    <row r="85" spans="1:11" x14ac:dyDescent="0.25">
      <c r="A85" s="8" t="s">
        <v>79</v>
      </c>
      <c r="B85" s="11">
        <v>70092000</v>
      </c>
      <c r="C85" s="11">
        <v>84584000</v>
      </c>
      <c r="D85" s="11">
        <v>64975000</v>
      </c>
      <c r="E85" s="11">
        <v>58652000</v>
      </c>
      <c r="F85" s="11">
        <v>60106000</v>
      </c>
      <c r="G85" s="11">
        <v>135423000</v>
      </c>
      <c r="H85" s="11">
        <v>159266000</v>
      </c>
      <c r="I85" s="11">
        <v>172239000</v>
      </c>
      <c r="J85" s="11">
        <v>73495000</v>
      </c>
      <c r="K85" s="11">
        <v>220606000</v>
      </c>
    </row>
    <row r="86" spans="1:11" x14ac:dyDescent="0.25">
      <c r="A86" s="10" t="s">
        <v>80</v>
      </c>
      <c r="B86" s="9">
        <v>70092000</v>
      </c>
      <c r="C86" s="14" t="s">
        <v>14</v>
      </c>
      <c r="D86" s="14" t="s">
        <v>14</v>
      </c>
      <c r="E86" s="14" t="s">
        <v>14</v>
      </c>
      <c r="F86" s="14" t="s">
        <v>14</v>
      </c>
      <c r="G86" s="14" t="s">
        <v>14</v>
      </c>
      <c r="H86" s="14" t="s">
        <v>14</v>
      </c>
      <c r="I86" s="14" t="s">
        <v>14</v>
      </c>
      <c r="J86" s="14" t="s">
        <v>14</v>
      </c>
      <c r="K86" s="14" t="s">
        <v>14</v>
      </c>
    </row>
    <row r="87" spans="1:11" x14ac:dyDescent="0.25">
      <c r="A87" s="12" t="s">
        <v>81</v>
      </c>
      <c r="B87" s="5" t="s">
        <v>14</v>
      </c>
      <c r="C87" s="5" t="s">
        <v>14</v>
      </c>
      <c r="D87" s="5" t="s">
        <v>14</v>
      </c>
      <c r="E87" s="5" t="s">
        <v>14</v>
      </c>
      <c r="F87" s="5" t="s">
        <v>14</v>
      </c>
      <c r="G87" s="5" t="s">
        <v>14</v>
      </c>
      <c r="H87" s="5" t="s">
        <v>14</v>
      </c>
      <c r="I87" s="5" t="s">
        <v>14</v>
      </c>
      <c r="J87" s="5" t="s">
        <v>14</v>
      </c>
      <c r="K87" s="5" t="s">
        <v>14</v>
      </c>
    </row>
    <row r="88" spans="1:11" x14ac:dyDescent="0.25">
      <c r="A88" s="12" t="s">
        <v>17</v>
      </c>
      <c r="B88" s="5" t="s">
        <v>14</v>
      </c>
      <c r="C88" s="5" t="s">
        <v>14</v>
      </c>
      <c r="D88" s="5" t="s">
        <v>14</v>
      </c>
      <c r="E88" s="5" t="s">
        <v>14</v>
      </c>
      <c r="F88" s="5" t="s">
        <v>14</v>
      </c>
      <c r="G88" s="5" t="s">
        <v>14</v>
      </c>
      <c r="H88" s="5" t="s">
        <v>14</v>
      </c>
      <c r="I88" s="5" t="s">
        <v>14</v>
      </c>
      <c r="J88" s="5" t="s">
        <v>14</v>
      </c>
      <c r="K88" s="5" t="s">
        <v>14</v>
      </c>
    </row>
    <row r="89" spans="1:11" x14ac:dyDescent="0.25">
      <c r="A89" s="10" t="s">
        <v>82</v>
      </c>
      <c r="B89" s="9">
        <v>0</v>
      </c>
      <c r="C89" s="14" t="s">
        <v>14</v>
      </c>
      <c r="D89" s="14" t="s">
        <v>14</v>
      </c>
      <c r="E89" s="14" t="s">
        <v>14</v>
      </c>
      <c r="F89" s="14" t="s">
        <v>14</v>
      </c>
      <c r="G89" s="14" t="s">
        <v>14</v>
      </c>
      <c r="H89" s="14" t="s">
        <v>14</v>
      </c>
      <c r="I89" s="14" t="s">
        <v>14</v>
      </c>
      <c r="J89" s="14" t="s">
        <v>14</v>
      </c>
      <c r="K89" s="14" t="s">
        <v>14</v>
      </c>
    </row>
    <row r="90" spans="1:11" x14ac:dyDescent="0.25">
      <c r="A90" s="10" t="s">
        <v>83</v>
      </c>
      <c r="B90" s="9">
        <v>0</v>
      </c>
      <c r="C90" s="14" t="s">
        <v>14</v>
      </c>
      <c r="D90" s="14" t="s">
        <v>14</v>
      </c>
      <c r="E90" s="14" t="s">
        <v>14</v>
      </c>
      <c r="F90" s="14" t="s">
        <v>14</v>
      </c>
      <c r="G90" s="14" t="s">
        <v>14</v>
      </c>
      <c r="H90" s="14" t="s">
        <v>14</v>
      </c>
      <c r="I90" s="14" t="s">
        <v>14</v>
      </c>
      <c r="J90" s="14" t="s">
        <v>14</v>
      </c>
      <c r="K90" s="14" t="s">
        <v>14</v>
      </c>
    </row>
    <row r="91" spans="1:11" x14ac:dyDescent="0.25">
      <c r="A91" s="8" t="s">
        <v>84</v>
      </c>
      <c r="B91" s="11">
        <v>967110000</v>
      </c>
      <c r="C91" s="11">
        <v>526174000</v>
      </c>
      <c r="D91" s="11">
        <v>797231000</v>
      </c>
      <c r="E91" s="11">
        <v>1477652000</v>
      </c>
      <c r="F91" s="11">
        <v>1170066000</v>
      </c>
      <c r="G91" s="11">
        <v>1235474000</v>
      </c>
      <c r="H91" s="11">
        <v>1001361000</v>
      </c>
      <c r="I91" s="11">
        <v>743937000</v>
      </c>
      <c r="J91" s="11">
        <v>1828277000</v>
      </c>
      <c r="K91" s="11">
        <v>1798780000</v>
      </c>
    </row>
    <row r="92" spans="1:11" x14ac:dyDescent="0.25">
      <c r="A92" s="10" t="s">
        <v>85</v>
      </c>
      <c r="B92" s="9">
        <v>967110000</v>
      </c>
      <c r="C92" s="9">
        <v>498586000</v>
      </c>
      <c r="D92" s="9">
        <v>764328000</v>
      </c>
      <c r="E92" s="9">
        <v>1348858000</v>
      </c>
      <c r="F92" s="9">
        <v>1153315000</v>
      </c>
      <c r="G92" s="9">
        <v>1073471000</v>
      </c>
      <c r="H92" s="9">
        <v>837744000</v>
      </c>
      <c r="I92" s="9">
        <v>726463000</v>
      </c>
      <c r="J92" s="9">
        <v>1827512000</v>
      </c>
      <c r="K92" s="9">
        <v>1575395000</v>
      </c>
    </row>
    <row r="93" spans="1:11" x14ac:dyDescent="0.25">
      <c r="A93" s="12" t="s">
        <v>86</v>
      </c>
      <c r="B93" s="7">
        <v>546767000</v>
      </c>
      <c r="C93" s="7">
        <v>16146000</v>
      </c>
      <c r="D93" s="7">
        <v>54163000</v>
      </c>
      <c r="E93" s="7">
        <v>464274000</v>
      </c>
      <c r="F93" s="7">
        <v>346488000</v>
      </c>
      <c r="G93" s="7">
        <v>164262000</v>
      </c>
      <c r="H93" s="7">
        <v>45519000</v>
      </c>
      <c r="I93" s="7">
        <v>11095000</v>
      </c>
      <c r="J93" s="7">
        <v>989795000</v>
      </c>
      <c r="K93" s="7">
        <v>974923000</v>
      </c>
    </row>
    <row r="94" spans="1:11" x14ac:dyDescent="0.25">
      <c r="A94" s="12" t="s">
        <v>87</v>
      </c>
      <c r="B94" s="7">
        <v>420343000</v>
      </c>
      <c r="C94" s="7">
        <v>482440000</v>
      </c>
      <c r="D94" s="7">
        <v>710165000</v>
      </c>
      <c r="E94" s="7">
        <v>884584000</v>
      </c>
      <c r="F94" s="7">
        <v>806827000</v>
      </c>
      <c r="G94" s="7">
        <v>909209000</v>
      </c>
      <c r="H94" s="7">
        <v>792225000</v>
      </c>
      <c r="I94" s="7">
        <v>715368000</v>
      </c>
      <c r="J94" s="7">
        <v>837717000</v>
      </c>
      <c r="K94" s="7">
        <v>600472000</v>
      </c>
    </row>
    <row r="95" spans="1:11" x14ac:dyDescent="0.25">
      <c r="A95" s="10" t="s">
        <v>88</v>
      </c>
      <c r="B95" s="9">
        <v>0</v>
      </c>
      <c r="C95" s="9">
        <v>27588000</v>
      </c>
      <c r="D95" s="9">
        <v>32903000</v>
      </c>
      <c r="E95" s="9">
        <v>128794000</v>
      </c>
      <c r="F95" s="9">
        <v>16751000</v>
      </c>
      <c r="G95" s="9">
        <v>162003000</v>
      </c>
      <c r="H95" s="9">
        <v>163617000</v>
      </c>
      <c r="I95" s="9">
        <v>17474000</v>
      </c>
      <c r="J95" s="9">
        <v>765000</v>
      </c>
      <c r="K95" s="9">
        <v>223385000</v>
      </c>
    </row>
    <row r="96" spans="1:11" x14ac:dyDescent="0.25">
      <c r="A96" s="10" t="s">
        <v>89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  <row r="97" spans="1:11" x14ac:dyDescent="0.25">
      <c r="A97" s="8" t="s">
        <v>90</v>
      </c>
      <c r="B97" s="11">
        <v>178242000</v>
      </c>
      <c r="C97" s="11">
        <v>165332000</v>
      </c>
      <c r="D97" s="11">
        <v>184208000</v>
      </c>
      <c r="E97" s="11">
        <v>198325000</v>
      </c>
      <c r="F97" s="11">
        <v>316752000</v>
      </c>
      <c r="G97" s="11">
        <v>307308000</v>
      </c>
      <c r="H97" s="11">
        <v>381991000</v>
      </c>
      <c r="I97" s="11">
        <v>363634000</v>
      </c>
      <c r="J97" s="11">
        <v>430257000</v>
      </c>
      <c r="K97" s="11">
        <v>620429000</v>
      </c>
    </row>
    <row r="98" spans="1:11" x14ac:dyDescent="0.25">
      <c r="A98" s="10" t="s">
        <v>91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</row>
    <row r="99" spans="1:11" x14ac:dyDescent="0.25">
      <c r="A99" s="12" t="s">
        <v>92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25">
      <c r="A100" s="12" t="s">
        <v>93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25">
      <c r="A101" s="12" t="s">
        <v>94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25">
      <c r="A102" s="12" t="s">
        <v>95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25">
      <c r="A103" s="10" t="s">
        <v>96</v>
      </c>
      <c r="B103" s="9">
        <v>178242000</v>
      </c>
      <c r="C103" s="9">
        <v>165332000</v>
      </c>
      <c r="D103" s="9">
        <v>184208000</v>
      </c>
      <c r="E103" s="9">
        <v>198325000</v>
      </c>
      <c r="F103" s="9">
        <v>316752000</v>
      </c>
      <c r="G103" s="9">
        <v>307308000</v>
      </c>
      <c r="H103" s="9">
        <v>381991000</v>
      </c>
      <c r="I103" s="9">
        <v>363634000</v>
      </c>
      <c r="J103" s="9">
        <v>430257000</v>
      </c>
      <c r="K103" s="9">
        <v>620429000</v>
      </c>
    </row>
    <row r="104" spans="1:11" x14ac:dyDescent="0.25">
      <c r="A104" s="12" t="s">
        <v>97</v>
      </c>
      <c r="B104" s="7">
        <v>11074000</v>
      </c>
      <c r="C104" s="7">
        <v>0</v>
      </c>
      <c r="D104" s="7">
        <v>51910000</v>
      </c>
      <c r="E104" s="7">
        <v>66023000</v>
      </c>
      <c r="F104" s="7">
        <v>78216000</v>
      </c>
      <c r="G104" s="7">
        <v>70498000</v>
      </c>
      <c r="H104" s="7">
        <v>53138000</v>
      </c>
      <c r="I104" s="7">
        <v>56117000</v>
      </c>
      <c r="J104" s="7">
        <v>86596000</v>
      </c>
      <c r="K104" s="7">
        <v>55756000</v>
      </c>
    </row>
    <row r="105" spans="1:11" x14ac:dyDescent="0.25">
      <c r="A105" s="12" t="s">
        <v>98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5">
      <c r="A106" s="12" t="s">
        <v>99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25">
      <c r="A107" s="12" t="s">
        <v>17</v>
      </c>
      <c r="B107" s="7">
        <v>167168000</v>
      </c>
      <c r="C107" s="7">
        <v>165332000</v>
      </c>
      <c r="D107" s="7">
        <v>132298000</v>
      </c>
      <c r="E107" s="7">
        <v>132302000</v>
      </c>
      <c r="F107" s="7">
        <v>238536000</v>
      </c>
      <c r="G107" s="7">
        <v>236810000</v>
      </c>
      <c r="H107" s="7">
        <v>328853000</v>
      </c>
      <c r="I107" s="7">
        <v>307517000</v>
      </c>
      <c r="J107" s="7">
        <v>343661000</v>
      </c>
      <c r="K107" s="7">
        <v>564673000</v>
      </c>
    </row>
    <row r="108" spans="1:11" x14ac:dyDescent="0.25">
      <c r="A108" s="8" t="s">
        <v>100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</row>
    <row r="109" spans="1:11" x14ac:dyDescent="0.25">
      <c r="A109" s="10" t="s">
        <v>101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</row>
    <row r="110" spans="1:11" x14ac:dyDescent="0.25">
      <c r="A110" s="12" t="s">
        <v>102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25">
      <c r="A111" s="12" t="s">
        <v>103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x14ac:dyDescent="0.25">
      <c r="A112" s="12" t="s">
        <v>104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</row>
    <row r="113" spans="1:11" x14ac:dyDescent="0.25">
      <c r="A113" s="12" t="s">
        <v>105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5">
      <c r="A114" s="12" t="s">
        <v>17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5">
      <c r="A115" s="10" t="s">
        <v>106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1:11" x14ac:dyDescent="0.25">
      <c r="A116" s="12" t="s">
        <v>107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5">
      <c r="A117" s="12" t="s">
        <v>108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25">
      <c r="A118" s="12" t="s">
        <v>109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</row>
    <row r="119" spans="1:11" x14ac:dyDescent="0.25">
      <c r="A119" s="12" t="s">
        <v>17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</row>
    <row r="120" spans="1:11" x14ac:dyDescent="0.25">
      <c r="A120" s="8" t="s">
        <v>110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</row>
    <row r="121" spans="1:11" x14ac:dyDescent="0.25">
      <c r="A121" s="10" t="s">
        <v>111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</row>
    <row r="122" spans="1:11" x14ac:dyDescent="0.25">
      <c r="A122" s="10" t="s">
        <v>112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</row>
    <row r="123" spans="1:11" x14ac:dyDescent="0.25">
      <c r="A123" s="6" t="s">
        <v>113</v>
      </c>
      <c r="B123" s="9">
        <v>2534150000</v>
      </c>
      <c r="C123" s="9">
        <v>2812809000</v>
      </c>
      <c r="D123" s="9">
        <v>2448705000</v>
      </c>
      <c r="E123" s="9">
        <v>2241116000</v>
      </c>
      <c r="F123" s="9">
        <v>2505283000</v>
      </c>
      <c r="G123" s="9">
        <v>2411440000</v>
      </c>
      <c r="H123" s="9">
        <v>2661630000</v>
      </c>
      <c r="I123" s="9">
        <v>3053548000</v>
      </c>
      <c r="J123" s="9">
        <v>4245199000</v>
      </c>
      <c r="K123" s="9">
        <v>4528308000</v>
      </c>
    </row>
    <row r="124" spans="1:11" x14ac:dyDescent="0.25">
      <c r="A124" s="8" t="s">
        <v>114</v>
      </c>
      <c r="B124" s="11">
        <v>1927558000</v>
      </c>
      <c r="C124" s="11">
        <v>2096923000</v>
      </c>
      <c r="D124" s="11">
        <v>1916105000</v>
      </c>
      <c r="E124" s="11">
        <v>1622068000</v>
      </c>
      <c r="F124" s="11">
        <v>1917312000</v>
      </c>
      <c r="G124" s="11">
        <v>1707481000</v>
      </c>
      <c r="H124" s="11">
        <v>1841657000</v>
      </c>
      <c r="I124" s="11">
        <v>2249630000</v>
      </c>
      <c r="J124" s="11">
        <v>3200463000</v>
      </c>
      <c r="K124" s="11">
        <v>3574364000</v>
      </c>
    </row>
    <row r="125" spans="1:11" x14ac:dyDescent="0.25">
      <c r="A125" s="10" t="s">
        <v>115</v>
      </c>
      <c r="B125" s="9">
        <v>1927558000</v>
      </c>
      <c r="C125" s="9">
        <v>881210000</v>
      </c>
      <c r="D125" s="9">
        <v>745854000</v>
      </c>
      <c r="E125" s="9">
        <v>534276000</v>
      </c>
      <c r="F125" s="9">
        <v>1423090000</v>
      </c>
      <c r="G125" s="9">
        <v>1555088000</v>
      </c>
      <c r="H125" s="9">
        <v>1396560000</v>
      </c>
      <c r="I125" s="9">
        <v>1358854000</v>
      </c>
      <c r="J125" s="9">
        <v>1959363000</v>
      </c>
      <c r="K125" s="9">
        <v>2574417000</v>
      </c>
    </row>
    <row r="126" spans="1:11" x14ac:dyDescent="0.25">
      <c r="A126" s="12" t="s">
        <v>116</v>
      </c>
      <c r="B126" s="7">
        <v>109390000</v>
      </c>
      <c r="C126" s="7">
        <v>374003000</v>
      </c>
      <c r="D126" s="7">
        <v>377652000</v>
      </c>
      <c r="E126" s="7">
        <v>135426000</v>
      </c>
      <c r="F126" s="7">
        <v>174529000</v>
      </c>
      <c r="G126" s="7">
        <v>80607000</v>
      </c>
      <c r="H126" s="7">
        <v>26873000</v>
      </c>
      <c r="I126" s="7">
        <v>15179000</v>
      </c>
      <c r="J126" s="7">
        <v>2840000</v>
      </c>
      <c r="K126" s="7">
        <v>320685000</v>
      </c>
    </row>
    <row r="127" spans="1:11" x14ac:dyDescent="0.25">
      <c r="A127" s="12" t="s">
        <v>117</v>
      </c>
      <c r="B127" s="7">
        <v>1818168000</v>
      </c>
      <c r="C127" s="7">
        <v>507207000</v>
      </c>
      <c r="D127" s="7">
        <v>368202000</v>
      </c>
      <c r="E127" s="7">
        <v>398850000</v>
      </c>
      <c r="F127" s="7">
        <v>1248561000</v>
      </c>
      <c r="G127" s="7">
        <v>1474481000</v>
      </c>
      <c r="H127" s="7">
        <v>1369687000</v>
      </c>
      <c r="I127" s="7">
        <v>1343675000</v>
      </c>
      <c r="J127" s="7">
        <v>1956523000</v>
      </c>
      <c r="K127" s="7">
        <v>2253732000</v>
      </c>
    </row>
    <row r="128" spans="1:11" x14ac:dyDescent="0.25">
      <c r="A128" s="10" t="s">
        <v>118</v>
      </c>
      <c r="B128" s="9">
        <v>0</v>
      </c>
      <c r="C128" s="9">
        <v>1215713000</v>
      </c>
      <c r="D128" s="9">
        <v>1170251000</v>
      </c>
      <c r="E128" s="9">
        <v>1087792000</v>
      </c>
      <c r="F128" s="9">
        <v>494222000</v>
      </c>
      <c r="G128" s="9">
        <v>152393000</v>
      </c>
      <c r="H128" s="9">
        <v>445097000</v>
      </c>
      <c r="I128" s="9">
        <v>890776000</v>
      </c>
      <c r="J128" s="9">
        <v>1241100000</v>
      </c>
      <c r="K128" s="9">
        <v>999947000</v>
      </c>
    </row>
    <row r="129" spans="1:11" x14ac:dyDescent="0.25">
      <c r="A129" s="10" t="s">
        <v>119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</row>
    <row r="130" spans="1:11" x14ac:dyDescent="0.25">
      <c r="A130" s="8" t="s">
        <v>120</v>
      </c>
      <c r="B130" s="11">
        <v>374200000</v>
      </c>
      <c r="C130" s="11">
        <v>85680000</v>
      </c>
      <c r="D130" s="11">
        <v>49766000</v>
      </c>
      <c r="E130" s="11">
        <v>52857000</v>
      </c>
      <c r="F130" s="11">
        <v>24751000</v>
      </c>
      <c r="G130" s="11">
        <v>28358000</v>
      </c>
      <c r="H130" s="11">
        <v>46583000</v>
      </c>
      <c r="I130" s="11">
        <v>94543000</v>
      </c>
      <c r="J130" s="11">
        <v>78398000</v>
      </c>
      <c r="K130" s="11">
        <v>64431000</v>
      </c>
    </row>
    <row r="131" spans="1:11" x14ac:dyDescent="0.25">
      <c r="A131" s="10" t="s">
        <v>121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</row>
    <row r="132" spans="1:11" x14ac:dyDescent="0.25">
      <c r="A132" s="12" t="s">
        <v>122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</row>
    <row r="133" spans="1:11" x14ac:dyDescent="0.25">
      <c r="A133" s="12" t="s">
        <v>123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</row>
    <row r="134" spans="1:11" x14ac:dyDescent="0.25">
      <c r="A134" s="12" t="s">
        <v>124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25">
      <c r="A135" s="12" t="s">
        <v>125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</row>
    <row r="136" spans="1:11" x14ac:dyDescent="0.25">
      <c r="A136" s="10" t="s">
        <v>126</v>
      </c>
      <c r="B136" s="9">
        <v>374200000</v>
      </c>
      <c r="C136" s="9">
        <v>85680000</v>
      </c>
      <c r="D136" s="9">
        <v>49766000</v>
      </c>
      <c r="E136" s="9">
        <v>52857000</v>
      </c>
      <c r="F136" s="9">
        <v>24751000</v>
      </c>
      <c r="G136" s="9">
        <v>28358000</v>
      </c>
      <c r="H136" s="9">
        <v>46583000</v>
      </c>
      <c r="I136" s="9">
        <v>94543000</v>
      </c>
      <c r="J136" s="9">
        <v>78398000</v>
      </c>
      <c r="K136" s="9">
        <v>64431000</v>
      </c>
    </row>
    <row r="137" spans="1:11" x14ac:dyDescent="0.25">
      <c r="A137" s="12" t="s">
        <v>127</v>
      </c>
      <c r="B137" s="7">
        <v>0</v>
      </c>
      <c r="C137" s="5" t="s">
        <v>14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5">
      <c r="A138" s="12" t="s">
        <v>128</v>
      </c>
      <c r="B138" s="7">
        <v>0</v>
      </c>
      <c r="C138" s="5" t="s">
        <v>14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</row>
    <row r="139" spans="1:11" x14ac:dyDescent="0.25">
      <c r="A139" s="12" t="s">
        <v>17</v>
      </c>
      <c r="B139" s="7">
        <v>374200000</v>
      </c>
      <c r="C139" s="5" t="s">
        <v>14</v>
      </c>
      <c r="D139" s="7">
        <v>49766000</v>
      </c>
      <c r="E139" s="7">
        <v>52857000</v>
      </c>
      <c r="F139" s="7">
        <v>24751000</v>
      </c>
      <c r="G139" s="7">
        <v>28358000</v>
      </c>
      <c r="H139" s="7">
        <v>46583000</v>
      </c>
      <c r="I139" s="7">
        <v>94543000</v>
      </c>
      <c r="J139" s="7">
        <v>78398000</v>
      </c>
      <c r="K139" s="7">
        <v>64431000</v>
      </c>
    </row>
    <row r="140" spans="1:11" x14ac:dyDescent="0.25">
      <c r="A140" s="8" t="s">
        <v>129</v>
      </c>
      <c r="B140" s="11">
        <v>174888000</v>
      </c>
      <c r="C140" s="11">
        <v>235201000</v>
      </c>
      <c r="D140" s="11">
        <v>149542000</v>
      </c>
      <c r="E140" s="11">
        <v>153767000</v>
      </c>
      <c r="F140" s="11">
        <v>146056000</v>
      </c>
      <c r="G140" s="11">
        <v>181786000</v>
      </c>
      <c r="H140" s="11">
        <v>201689000</v>
      </c>
      <c r="I140" s="11">
        <v>165427000</v>
      </c>
      <c r="J140" s="11">
        <v>203951000</v>
      </c>
      <c r="K140" s="11">
        <v>160053000</v>
      </c>
    </row>
    <row r="141" spans="1:11" x14ac:dyDescent="0.25">
      <c r="A141" s="10" t="s">
        <v>130</v>
      </c>
      <c r="B141" s="9">
        <v>174888000</v>
      </c>
      <c r="C141" s="9">
        <v>235201000</v>
      </c>
      <c r="D141" s="9">
        <v>149542000</v>
      </c>
      <c r="E141" s="9">
        <v>153767000</v>
      </c>
      <c r="F141" s="9">
        <v>146056000</v>
      </c>
      <c r="G141" s="9">
        <v>181786000</v>
      </c>
      <c r="H141" s="9">
        <v>201689000</v>
      </c>
      <c r="I141" s="9">
        <v>165427000</v>
      </c>
      <c r="J141" s="9">
        <v>203951000</v>
      </c>
      <c r="K141" s="9">
        <v>160053000</v>
      </c>
    </row>
    <row r="142" spans="1:11" x14ac:dyDescent="0.25">
      <c r="A142" s="8" t="s">
        <v>131</v>
      </c>
      <c r="B142" s="11">
        <v>57504000</v>
      </c>
      <c r="C142" s="11">
        <v>395005000</v>
      </c>
      <c r="D142" s="11">
        <v>333292000</v>
      </c>
      <c r="E142" s="11">
        <v>412424000</v>
      </c>
      <c r="F142" s="11">
        <v>417164000</v>
      </c>
      <c r="G142" s="11">
        <v>493815000</v>
      </c>
      <c r="H142" s="11">
        <v>571701000</v>
      </c>
      <c r="I142" s="11">
        <v>543948000</v>
      </c>
      <c r="J142" s="11">
        <v>762387000</v>
      </c>
      <c r="K142" s="11">
        <v>729460000</v>
      </c>
    </row>
    <row r="143" spans="1:11" x14ac:dyDescent="0.25">
      <c r="A143" s="10" t="s">
        <v>132</v>
      </c>
      <c r="B143" s="9">
        <v>57504000</v>
      </c>
      <c r="C143" s="9">
        <v>61638000</v>
      </c>
      <c r="D143" s="9">
        <v>26930000</v>
      </c>
      <c r="E143" s="9">
        <v>25223000</v>
      </c>
      <c r="F143" s="9">
        <v>37631000</v>
      </c>
      <c r="G143" s="9">
        <v>80842000</v>
      </c>
      <c r="H143" s="9">
        <v>104829000</v>
      </c>
      <c r="I143" s="9">
        <v>84568000</v>
      </c>
      <c r="J143" s="9">
        <v>84136000</v>
      </c>
      <c r="K143" s="9">
        <v>86108000</v>
      </c>
    </row>
    <row r="144" spans="1:11" x14ac:dyDescent="0.25">
      <c r="A144" s="12" t="s">
        <v>133</v>
      </c>
      <c r="B144" s="7">
        <v>31077000</v>
      </c>
      <c r="C144" s="7">
        <v>28097000</v>
      </c>
      <c r="D144" s="5" t="s">
        <v>14</v>
      </c>
      <c r="E144" s="7">
        <v>5213000</v>
      </c>
      <c r="F144" s="7">
        <v>10079000</v>
      </c>
      <c r="G144" s="7">
        <v>38815000</v>
      </c>
      <c r="H144" s="7">
        <v>47144000</v>
      </c>
      <c r="I144" s="7">
        <v>46873000</v>
      </c>
      <c r="J144" s="7">
        <v>55896000</v>
      </c>
      <c r="K144" s="7">
        <v>54715000</v>
      </c>
    </row>
    <row r="145" spans="1:11" x14ac:dyDescent="0.25">
      <c r="A145" s="12" t="s">
        <v>134</v>
      </c>
      <c r="B145" s="7">
        <v>21182000</v>
      </c>
      <c r="C145" s="7">
        <v>13415000</v>
      </c>
      <c r="D145" s="5" t="s">
        <v>14</v>
      </c>
      <c r="E145" s="7">
        <v>8965000</v>
      </c>
      <c r="F145" s="7">
        <v>16317000</v>
      </c>
      <c r="G145" s="7">
        <v>30225000</v>
      </c>
      <c r="H145" s="7">
        <v>41984000</v>
      </c>
      <c r="I145" s="7">
        <v>33699000</v>
      </c>
      <c r="J145" s="7">
        <v>23593000</v>
      </c>
      <c r="K145" s="7">
        <v>18874000</v>
      </c>
    </row>
    <row r="146" spans="1:11" x14ac:dyDescent="0.25">
      <c r="A146" s="12" t="s">
        <v>135</v>
      </c>
      <c r="B146" s="7">
        <v>0</v>
      </c>
      <c r="C146" s="7">
        <v>0</v>
      </c>
      <c r="D146" s="5" t="s">
        <v>14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25">
      <c r="A147" s="12" t="s">
        <v>136</v>
      </c>
      <c r="B147" s="7">
        <v>5245000</v>
      </c>
      <c r="C147" s="7">
        <v>5893000</v>
      </c>
      <c r="D147" s="5" t="s">
        <v>14</v>
      </c>
      <c r="E147" s="7">
        <v>11045000</v>
      </c>
      <c r="F147" s="7">
        <v>11235000</v>
      </c>
      <c r="G147" s="7">
        <v>11802000</v>
      </c>
      <c r="H147" s="7">
        <v>15701000</v>
      </c>
      <c r="I147" s="7">
        <v>3996000</v>
      </c>
      <c r="J147" s="7">
        <v>4647000</v>
      </c>
      <c r="K147" s="7">
        <v>12519000</v>
      </c>
    </row>
    <row r="148" spans="1:11" x14ac:dyDescent="0.25">
      <c r="A148" s="12" t="s">
        <v>17</v>
      </c>
      <c r="B148" s="7">
        <v>0</v>
      </c>
      <c r="C148" s="7">
        <v>14233000</v>
      </c>
      <c r="D148" s="5" t="s">
        <v>14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25">
      <c r="A149" s="10" t="s">
        <v>137</v>
      </c>
      <c r="B149" s="9">
        <v>0</v>
      </c>
      <c r="C149" s="9">
        <v>333367000</v>
      </c>
      <c r="D149" s="9">
        <v>306362000</v>
      </c>
      <c r="E149" s="9">
        <v>387201000</v>
      </c>
      <c r="F149" s="9">
        <v>379533000</v>
      </c>
      <c r="G149" s="9">
        <v>412973000</v>
      </c>
      <c r="H149" s="9">
        <v>466872000</v>
      </c>
      <c r="I149" s="9">
        <v>459380000</v>
      </c>
      <c r="J149" s="9">
        <v>678251000</v>
      </c>
      <c r="K149" s="9">
        <v>643352000</v>
      </c>
    </row>
    <row r="150" spans="1:11" x14ac:dyDescent="0.25">
      <c r="A150" s="12" t="s">
        <v>138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25">
      <c r="A151" s="12" t="s">
        <v>139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</row>
    <row r="152" spans="1:11" x14ac:dyDescent="0.25">
      <c r="A152" s="12" t="s">
        <v>140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25">
      <c r="A153" s="12" t="s">
        <v>17</v>
      </c>
      <c r="B153" s="7">
        <v>0</v>
      </c>
      <c r="C153" s="7">
        <v>333367000</v>
      </c>
      <c r="D153" s="7">
        <v>306362000</v>
      </c>
      <c r="E153" s="7">
        <v>387201000</v>
      </c>
      <c r="F153" s="7">
        <v>379533000</v>
      </c>
      <c r="G153" s="7">
        <v>412973000</v>
      </c>
      <c r="H153" s="7">
        <v>466872000</v>
      </c>
      <c r="I153" s="7">
        <v>459380000</v>
      </c>
      <c r="J153" s="7">
        <v>678251000</v>
      </c>
      <c r="K153" s="7">
        <v>643352000</v>
      </c>
    </row>
    <row r="154" spans="1:11" x14ac:dyDescent="0.25">
      <c r="A154" s="8" t="s">
        <v>141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</row>
    <row r="155" spans="1:11" x14ac:dyDescent="0.25">
      <c r="A155" s="10" t="s">
        <v>142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</row>
    <row r="156" spans="1:11" x14ac:dyDescent="0.25">
      <c r="A156" s="10" t="s">
        <v>143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</row>
    <row r="157" spans="1:11" x14ac:dyDescent="0.25">
      <c r="A157" s="8" t="s">
        <v>144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</row>
    <row r="158" spans="1:11" x14ac:dyDescent="0.25">
      <c r="A158" s="10" t="s">
        <v>145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</row>
    <row r="159" spans="1:11" x14ac:dyDescent="0.25">
      <c r="A159" s="10" t="s">
        <v>146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</row>
    <row r="160" spans="1:11" x14ac:dyDescent="0.25">
      <c r="A160" s="10" t="s">
        <v>147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</row>
    <row r="161" spans="1:11" x14ac:dyDescent="0.25">
      <c r="A161" s="6" t="s">
        <v>148</v>
      </c>
      <c r="B161" s="9">
        <v>1027943000</v>
      </c>
      <c r="C161" s="9">
        <v>1276121000</v>
      </c>
      <c r="D161" s="9">
        <v>1332004000</v>
      </c>
      <c r="E161" s="9">
        <v>1907094000</v>
      </c>
      <c r="F161" s="9">
        <v>2001482000</v>
      </c>
      <c r="G161" s="9">
        <v>2592092000</v>
      </c>
      <c r="H161" s="9">
        <v>3038275000</v>
      </c>
      <c r="I161" s="9">
        <v>3330064000</v>
      </c>
      <c r="J161" s="9">
        <v>4044674000</v>
      </c>
      <c r="K161" s="9">
        <v>3893193000</v>
      </c>
    </row>
    <row r="162" spans="1:11" x14ac:dyDescent="0.25">
      <c r="A162" s="8" t="s">
        <v>149</v>
      </c>
      <c r="B162" s="11">
        <v>152449000</v>
      </c>
      <c r="C162" s="11">
        <v>188468000</v>
      </c>
      <c r="D162" s="11">
        <v>187056000</v>
      </c>
      <c r="E162" s="11">
        <v>211313000</v>
      </c>
      <c r="F162" s="11">
        <v>208640000</v>
      </c>
      <c r="G162" s="11">
        <v>216744000</v>
      </c>
      <c r="H162" s="11">
        <v>217404000</v>
      </c>
      <c r="I162" s="11">
        <v>215233000</v>
      </c>
      <c r="J162" s="11">
        <v>282271000</v>
      </c>
      <c r="K162" s="11">
        <v>293940000</v>
      </c>
    </row>
    <row r="163" spans="1:11" x14ac:dyDescent="0.25">
      <c r="A163" s="8" t="s">
        <v>150</v>
      </c>
      <c r="B163" s="11">
        <v>875494000</v>
      </c>
      <c r="C163" s="11">
        <v>1087653000</v>
      </c>
      <c r="D163" s="11">
        <v>1144948000</v>
      </c>
      <c r="E163" s="11">
        <v>1695781000</v>
      </c>
      <c r="F163" s="11">
        <v>1792842000</v>
      </c>
      <c r="G163" s="11">
        <v>2375348000</v>
      </c>
      <c r="H163" s="11">
        <v>2820871000</v>
      </c>
      <c r="I163" s="11">
        <v>3114831000</v>
      </c>
      <c r="J163" s="11">
        <v>3762403000</v>
      </c>
      <c r="K163" s="11">
        <v>3599253000</v>
      </c>
    </row>
    <row r="164" spans="1:11" x14ac:dyDescent="0.25">
      <c r="A164" s="10" t="s">
        <v>151</v>
      </c>
      <c r="B164" s="9">
        <v>650000000</v>
      </c>
      <c r="C164" s="9">
        <v>700000000</v>
      </c>
      <c r="D164" s="9">
        <v>700000000</v>
      </c>
      <c r="E164" s="9">
        <v>700000000</v>
      </c>
      <c r="F164" s="9">
        <v>700000000</v>
      </c>
      <c r="G164" s="9">
        <v>1254422000</v>
      </c>
      <c r="H164" s="9">
        <v>1407536000</v>
      </c>
      <c r="I164" s="9">
        <v>1447474000</v>
      </c>
      <c r="J164" s="9">
        <v>1576954000</v>
      </c>
      <c r="K164" s="9">
        <v>1576954000</v>
      </c>
    </row>
    <row r="165" spans="1:11" x14ac:dyDescent="0.25">
      <c r="A165" s="10" t="s">
        <v>152</v>
      </c>
      <c r="B165" s="9">
        <v>-3487000</v>
      </c>
      <c r="C165" s="9">
        <v>-3487000</v>
      </c>
      <c r="D165" s="9">
        <v>-2732000</v>
      </c>
      <c r="E165" s="9">
        <v>-2996000</v>
      </c>
      <c r="F165" s="9">
        <v>-2922000</v>
      </c>
      <c r="G165" s="9">
        <v>-9920000</v>
      </c>
      <c r="H165" s="9">
        <v>93277000</v>
      </c>
      <c r="I165" s="9">
        <v>107225000</v>
      </c>
      <c r="J165" s="9">
        <v>-19833000</v>
      </c>
      <c r="K165" s="9">
        <v>-13366000</v>
      </c>
    </row>
    <row r="166" spans="1:11" x14ac:dyDescent="0.25">
      <c r="A166" s="12" t="s">
        <v>153</v>
      </c>
      <c r="B166" s="7">
        <v>0</v>
      </c>
      <c r="C166" s="7">
        <v>149000</v>
      </c>
      <c r="D166" s="7">
        <v>300000</v>
      </c>
      <c r="E166" s="7">
        <v>300000</v>
      </c>
      <c r="F166" s="7">
        <v>300000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</row>
    <row r="167" spans="1:11" x14ac:dyDescent="0.25">
      <c r="A167" s="12" t="s">
        <v>154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</row>
    <row r="168" spans="1:11" x14ac:dyDescent="0.25">
      <c r="A168" s="12" t="s">
        <v>155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</row>
    <row r="169" spans="1:11" x14ac:dyDescent="0.25">
      <c r="A169" s="12" t="s">
        <v>156</v>
      </c>
      <c r="B169" s="7">
        <v>2920000</v>
      </c>
      <c r="C169" s="7">
        <v>2920000</v>
      </c>
      <c r="D169" s="7">
        <v>2783000</v>
      </c>
      <c r="E169" s="7">
        <v>2783000</v>
      </c>
      <c r="F169" s="7">
        <v>2783000</v>
      </c>
      <c r="G169" s="7">
        <v>3019000</v>
      </c>
      <c r="H169" s="7">
        <v>3025000</v>
      </c>
      <c r="I169" s="7">
        <v>3100000</v>
      </c>
      <c r="J169" s="7">
        <v>3061000</v>
      </c>
      <c r="K169" s="7">
        <v>3061000</v>
      </c>
    </row>
    <row r="170" spans="1:11" x14ac:dyDescent="0.25">
      <c r="A170" s="12" t="s">
        <v>157</v>
      </c>
      <c r="B170" s="7">
        <v>-6407000</v>
      </c>
      <c r="C170" s="7">
        <v>-6556000</v>
      </c>
      <c r="D170" s="7">
        <v>-5815000</v>
      </c>
      <c r="E170" s="7">
        <v>-6079000</v>
      </c>
      <c r="F170" s="7">
        <v>-6005000</v>
      </c>
      <c r="G170" s="7">
        <v>-12939000</v>
      </c>
      <c r="H170" s="7">
        <v>-26046000</v>
      </c>
      <c r="I170" s="7">
        <v>-28988000</v>
      </c>
      <c r="J170" s="7">
        <v>-28894000</v>
      </c>
      <c r="K170" s="7">
        <v>-28894000</v>
      </c>
    </row>
    <row r="171" spans="1:11" x14ac:dyDescent="0.25">
      <c r="A171" s="12" t="s">
        <v>158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</row>
    <row r="172" spans="1:11" x14ac:dyDescent="0.25">
      <c r="A172" s="12" t="s">
        <v>17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116298000</v>
      </c>
      <c r="I172" s="7">
        <v>133113000</v>
      </c>
      <c r="J172" s="7">
        <v>6000000</v>
      </c>
      <c r="K172" s="7">
        <v>12467000</v>
      </c>
    </row>
    <row r="173" spans="1:11" x14ac:dyDescent="0.25">
      <c r="A173" s="10" t="s">
        <v>159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4" spans="1:11" x14ac:dyDescent="0.25">
      <c r="A174" s="10" t="s">
        <v>160</v>
      </c>
      <c r="B174" s="9">
        <v>76615000</v>
      </c>
      <c r="C174" s="9">
        <v>88416000</v>
      </c>
      <c r="D174" s="9">
        <v>207812000</v>
      </c>
      <c r="E174" s="9">
        <v>256546000</v>
      </c>
      <c r="F174" s="9">
        <v>292107000</v>
      </c>
      <c r="G174" s="9">
        <v>310193000</v>
      </c>
      <c r="H174" s="9">
        <v>252380000</v>
      </c>
      <c r="I174" s="9">
        <v>393156000</v>
      </c>
      <c r="J174" s="9">
        <v>606530000</v>
      </c>
      <c r="K174" s="9">
        <v>120921000</v>
      </c>
    </row>
    <row r="175" spans="1:11" x14ac:dyDescent="0.25">
      <c r="A175" s="12" t="s">
        <v>161</v>
      </c>
      <c r="B175" s="7">
        <v>46187000</v>
      </c>
      <c r="C175" s="7">
        <v>50087000</v>
      </c>
      <c r="D175" s="7">
        <v>60012000</v>
      </c>
      <c r="E175" s="7">
        <v>63880000</v>
      </c>
      <c r="F175" s="7">
        <v>66702000</v>
      </c>
      <c r="G175" s="7">
        <v>68114000</v>
      </c>
      <c r="H175" s="7">
        <v>68816000</v>
      </c>
      <c r="I175" s="7">
        <v>79510000</v>
      </c>
      <c r="J175" s="7">
        <v>96648000</v>
      </c>
      <c r="K175" s="7">
        <v>96648000</v>
      </c>
    </row>
    <row r="176" spans="1:11" x14ac:dyDescent="0.25">
      <c r="A176" s="12" t="s">
        <v>162</v>
      </c>
      <c r="B176" s="7">
        <v>30428000</v>
      </c>
      <c r="C176" s="7">
        <v>38329000</v>
      </c>
      <c r="D176" s="7">
        <v>147800000</v>
      </c>
      <c r="E176" s="7">
        <v>192666000</v>
      </c>
      <c r="F176" s="7">
        <v>225405000</v>
      </c>
      <c r="G176" s="7">
        <v>242079000</v>
      </c>
      <c r="H176" s="7">
        <v>183564000</v>
      </c>
      <c r="I176" s="7">
        <v>313646000</v>
      </c>
      <c r="J176" s="7">
        <v>509882000</v>
      </c>
      <c r="K176" s="7">
        <v>24273000</v>
      </c>
    </row>
    <row r="177" spans="1:11" x14ac:dyDescent="0.25">
      <c r="A177" s="12" t="s">
        <v>163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</row>
    <row r="178" spans="1:11" x14ac:dyDescent="0.25">
      <c r="A178" s="12" t="s">
        <v>164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</row>
    <row r="179" spans="1:11" x14ac:dyDescent="0.25">
      <c r="A179" s="12" t="s">
        <v>165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</row>
    <row r="180" spans="1:11" x14ac:dyDescent="0.25">
      <c r="A180" s="12" t="s">
        <v>166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</row>
    <row r="181" spans="1:11" x14ac:dyDescent="0.25">
      <c r="A181" s="12" t="s">
        <v>167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</row>
    <row r="182" spans="1:11" x14ac:dyDescent="0.25">
      <c r="A182" s="12" t="s">
        <v>168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</row>
    <row r="183" spans="1:11" x14ac:dyDescent="0.25">
      <c r="A183" s="12" t="s">
        <v>169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</row>
    <row r="184" spans="1:11" x14ac:dyDescent="0.25">
      <c r="A184" s="12" t="s">
        <v>17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</row>
    <row r="185" spans="1:11" x14ac:dyDescent="0.25">
      <c r="A185" s="10" t="s">
        <v>170</v>
      </c>
      <c r="B185" s="9">
        <v>16067000</v>
      </c>
      <c r="C185" s="9">
        <v>89043000</v>
      </c>
      <c r="D185" s="9">
        <v>26781000</v>
      </c>
      <c r="E185" s="9">
        <v>68438000</v>
      </c>
      <c r="F185" s="9">
        <v>3373000</v>
      </c>
      <c r="G185" s="9">
        <v>27166000</v>
      </c>
      <c r="H185" s="9">
        <v>39255000</v>
      </c>
      <c r="I185" s="9">
        <v>175221000</v>
      </c>
      <c r="J185" s="9">
        <v>-340115000</v>
      </c>
      <c r="K185" s="9">
        <v>269323000</v>
      </c>
    </row>
    <row r="186" spans="1:11" x14ac:dyDescent="0.25">
      <c r="A186" s="10" t="s">
        <v>171</v>
      </c>
      <c r="B186" s="9">
        <v>157068000</v>
      </c>
      <c r="C186" s="9">
        <v>128607000</v>
      </c>
      <c r="D186" s="9">
        <v>120769000</v>
      </c>
      <c r="E186" s="9">
        <v>106699000</v>
      </c>
      <c r="F186" s="9">
        <v>100309000</v>
      </c>
      <c r="G186" s="9">
        <v>92741000</v>
      </c>
      <c r="H186" s="9">
        <v>80053000</v>
      </c>
      <c r="I186" s="9">
        <v>73437000</v>
      </c>
      <c r="J186" s="9">
        <v>66298000</v>
      </c>
      <c r="K186" s="9">
        <v>59868000</v>
      </c>
    </row>
    <row r="187" spans="1:11" x14ac:dyDescent="0.25">
      <c r="A187" s="10" t="s">
        <v>172</v>
      </c>
      <c r="B187" s="9">
        <v>-20769000</v>
      </c>
      <c r="C187" s="9">
        <v>123037000</v>
      </c>
      <c r="D187" s="9">
        <v>106273000</v>
      </c>
      <c r="E187" s="9">
        <v>611146000</v>
      </c>
      <c r="F187" s="9">
        <v>644973000</v>
      </c>
      <c r="G187" s="9">
        <v>726298000</v>
      </c>
      <c r="H187" s="9">
        <v>985392000</v>
      </c>
      <c r="I187" s="9">
        <v>960790000</v>
      </c>
      <c r="J187" s="9">
        <v>1907486000</v>
      </c>
      <c r="K187" s="9">
        <v>1735611000</v>
      </c>
    </row>
    <row r="188" spans="1:11" x14ac:dyDescent="0.25">
      <c r="A188" s="10" t="s">
        <v>173</v>
      </c>
      <c r="B188" s="9">
        <v>0</v>
      </c>
      <c r="C188" s="9">
        <v>-37963000</v>
      </c>
      <c r="D188" s="9">
        <v>-13955000</v>
      </c>
      <c r="E188" s="9">
        <v>-44052000</v>
      </c>
      <c r="F188" s="9">
        <v>55002000</v>
      </c>
      <c r="G188" s="9">
        <v>-25552000</v>
      </c>
      <c r="H188" s="9">
        <v>-37022000</v>
      </c>
      <c r="I188" s="9">
        <v>-42472000</v>
      </c>
      <c r="J188" s="9">
        <v>-34917000</v>
      </c>
      <c r="K188" s="9">
        <v>-150058000</v>
      </c>
    </row>
    <row r="189" spans="1:11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3" t="s">
        <v>174</v>
      </c>
      <c r="B190" s="5" t="s">
        <v>2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  <c r="K190" s="5" t="s">
        <v>2</v>
      </c>
    </row>
    <row r="191" spans="1:11" x14ac:dyDescent="0.25">
      <c r="A191" s="3" t="s">
        <v>175</v>
      </c>
      <c r="B191" s="5">
        <v>12</v>
      </c>
      <c r="C191" s="5">
        <v>12</v>
      </c>
      <c r="D191" s="5">
        <v>12</v>
      </c>
      <c r="E191" s="5">
        <v>12</v>
      </c>
      <c r="F191" s="5">
        <v>12</v>
      </c>
      <c r="G191" s="5">
        <v>12</v>
      </c>
      <c r="H191" s="5">
        <v>12</v>
      </c>
      <c r="I191" s="5">
        <v>12</v>
      </c>
      <c r="J191" s="5">
        <v>12</v>
      </c>
      <c r="K191" s="5">
        <v>12</v>
      </c>
    </row>
    <row r="192" spans="1:11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3" t="s">
        <v>176</v>
      </c>
      <c r="B193" s="7">
        <v>4242302000</v>
      </c>
      <c r="C193" s="7">
        <v>6011342000</v>
      </c>
      <c r="D193" s="7">
        <v>6070437000</v>
      </c>
      <c r="E193" s="7">
        <v>6177310000</v>
      </c>
      <c r="F193" s="7">
        <v>7168449000</v>
      </c>
      <c r="G193" s="7">
        <v>6874815000</v>
      </c>
      <c r="H193" s="7">
        <v>8430332000</v>
      </c>
      <c r="I193" s="7">
        <v>10208512000</v>
      </c>
      <c r="J193" s="7">
        <v>8277349000</v>
      </c>
      <c r="K193" s="7">
        <v>11681143000</v>
      </c>
    </row>
    <row r="194" spans="1:11" x14ac:dyDescent="0.25">
      <c r="A194" s="3" t="s">
        <v>177</v>
      </c>
      <c r="B194" s="7">
        <v>3707618000</v>
      </c>
      <c r="C194" s="7">
        <v>5263264000</v>
      </c>
      <c r="D194" s="7">
        <v>5250858000</v>
      </c>
      <c r="E194" s="7">
        <v>5345434000</v>
      </c>
      <c r="F194" s="7">
        <v>6202370000</v>
      </c>
      <c r="G194" s="7">
        <v>5844879000</v>
      </c>
      <c r="H194" s="7">
        <v>7183696000</v>
      </c>
      <c r="I194" s="7">
        <v>8877437000</v>
      </c>
      <c r="J194" s="7">
        <v>7678996000</v>
      </c>
      <c r="K194" s="7">
        <v>10333416000</v>
      </c>
    </row>
    <row r="195" spans="1:11" x14ac:dyDescent="0.25">
      <c r="A195" s="3" t="s">
        <v>178</v>
      </c>
      <c r="B195" s="7">
        <v>534684000</v>
      </c>
      <c r="C195" s="7">
        <v>748078000</v>
      </c>
      <c r="D195" s="7">
        <v>819579000</v>
      </c>
      <c r="E195" s="7">
        <v>831876000</v>
      </c>
      <c r="F195" s="7">
        <v>966079000</v>
      </c>
      <c r="G195" s="7">
        <v>1029936000</v>
      </c>
      <c r="H195" s="7">
        <v>1246636000</v>
      </c>
      <c r="I195" s="7">
        <v>1331075000</v>
      </c>
      <c r="J195" s="7">
        <v>598353000</v>
      </c>
      <c r="K195" s="7">
        <v>1347727000</v>
      </c>
    </row>
    <row r="196" spans="1:11" x14ac:dyDescent="0.25">
      <c r="A196" s="3" t="s">
        <v>179</v>
      </c>
      <c r="B196" s="7">
        <v>242610000</v>
      </c>
      <c r="C196" s="7">
        <v>345661000</v>
      </c>
      <c r="D196" s="7">
        <v>417430000</v>
      </c>
      <c r="E196" s="7">
        <v>360790000</v>
      </c>
      <c r="F196" s="7">
        <v>506732000</v>
      </c>
      <c r="G196" s="7">
        <v>567907000</v>
      </c>
      <c r="H196" s="7">
        <v>649865000</v>
      </c>
      <c r="I196" s="7">
        <v>621283000</v>
      </c>
      <c r="J196" s="7">
        <v>514055000</v>
      </c>
      <c r="K196" s="7">
        <v>608538000</v>
      </c>
    </row>
    <row r="197" spans="1:11" x14ac:dyDescent="0.25">
      <c r="A197" s="6" t="s">
        <v>180</v>
      </c>
      <c r="B197" s="9">
        <v>87261000</v>
      </c>
      <c r="C197" s="9">
        <v>115562000</v>
      </c>
      <c r="D197" s="9">
        <v>122098000</v>
      </c>
      <c r="E197" s="9">
        <v>124358000</v>
      </c>
      <c r="F197" s="9">
        <v>164275000</v>
      </c>
      <c r="G197" s="9">
        <v>153427000</v>
      </c>
      <c r="H197" s="9">
        <v>103802000</v>
      </c>
      <c r="I197" s="9">
        <v>75051000</v>
      </c>
      <c r="J197" s="9">
        <v>57600000</v>
      </c>
      <c r="K197" s="9">
        <v>69844000</v>
      </c>
    </row>
    <row r="198" spans="1:11" x14ac:dyDescent="0.25">
      <c r="A198" s="6" t="s">
        <v>181</v>
      </c>
      <c r="B198" s="9">
        <v>163914000</v>
      </c>
      <c r="C198" s="9">
        <v>243159000</v>
      </c>
      <c r="D198" s="9">
        <v>299536000</v>
      </c>
      <c r="E198" s="9">
        <v>271494000</v>
      </c>
      <c r="F198" s="9">
        <v>374439000</v>
      </c>
      <c r="G198" s="9">
        <v>384521000</v>
      </c>
      <c r="H198" s="9">
        <v>452359000</v>
      </c>
      <c r="I198" s="9">
        <v>497531000</v>
      </c>
      <c r="J198" s="9">
        <v>486721000</v>
      </c>
      <c r="K198" s="9">
        <v>592188000</v>
      </c>
    </row>
    <row r="199" spans="1:11" x14ac:dyDescent="0.25">
      <c r="A199" s="6" t="s">
        <v>182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</row>
    <row r="200" spans="1:11" x14ac:dyDescent="0.25">
      <c r="A200" s="6" t="s">
        <v>183</v>
      </c>
      <c r="B200" s="9">
        <v>22376000</v>
      </c>
      <c r="C200" s="9">
        <v>15231000</v>
      </c>
      <c r="D200" s="9">
        <v>38287000</v>
      </c>
      <c r="E200" s="9">
        <v>-39224000</v>
      </c>
      <c r="F200" s="9">
        <v>47949000</v>
      </c>
      <c r="G200" s="9">
        <v>6102000</v>
      </c>
      <c r="H200" s="9">
        <v>-63453000</v>
      </c>
      <c r="I200" s="9">
        <v>-36592000</v>
      </c>
      <c r="J200" s="9">
        <v>39324000</v>
      </c>
      <c r="K200" s="9">
        <v>43231000</v>
      </c>
    </row>
    <row r="201" spans="1:11" x14ac:dyDescent="0.25">
      <c r="A201" s="6" t="s">
        <v>184</v>
      </c>
      <c r="B201" s="9">
        <v>13811000</v>
      </c>
      <c r="C201" s="9">
        <v>9193000</v>
      </c>
      <c r="D201" s="9">
        <v>0</v>
      </c>
      <c r="E201" s="9">
        <v>0</v>
      </c>
      <c r="F201" s="9">
        <v>0</v>
      </c>
      <c r="G201" s="9">
        <v>0</v>
      </c>
      <c r="H201" s="9">
        <v>23510000</v>
      </c>
      <c r="I201" s="9">
        <v>-8140000</v>
      </c>
      <c r="J201" s="9">
        <v>0</v>
      </c>
      <c r="K201" s="9">
        <v>0</v>
      </c>
    </row>
    <row r="202" spans="1:11" x14ac:dyDescent="0.25">
      <c r="A202" s="6" t="s">
        <v>185</v>
      </c>
      <c r="B202" s="9">
        <v>0</v>
      </c>
      <c r="C202" s="9">
        <v>7022000</v>
      </c>
      <c r="D202" s="9">
        <v>-34083000</v>
      </c>
      <c r="E202" s="9">
        <v>74286000</v>
      </c>
      <c r="F202" s="9">
        <v>-15967000</v>
      </c>
      <c r="G202" s="9">
        <v>-36061000</v>
      </c>
      <c r="H202" s="9">
        <v>-6741000</v>
      </c>
      <c r="I202" s="9">
        <v>-20249000</v>
      </c>
      <c r="J202" s="9">
        <v>-9058000</v>
      </c>
      <c r="K202" s="9">
        <v>10263000</v>
      </c>
    </row>
    <row r="203" spans="1:11" x14ac:dyDescent="0.25">
      <c r="A203" s="3" t="s">
        <v>186</v>
      </c>
      <c r="B203" s="7">
        <v>292074000</v>
      </c>
      <c r="C203" s="7">
        <v>402417000</v>
      </c>
      <c r="D203" s="7">
        <v>402149000</v>
      </c>
      <c r="E203" s="7">
        <v>471086000</v>
      </c>
      <c r="F203" s="7">
        <v>459347000</v>
      </c>
      <c r="G203" s="7">
        <v>462029000</v>
      </c>
      <c r="H203" s="7">
        <v>596771000</v>
      </c>
      <c r="I203" s="7">
        <v>709792000</v>
      </c>
      <c r="J203" s="7">
        <v>84298000</v>
      </c>
      <c r="K203" s="7">
        <v>739189000</v>
      </c>
    </row>
    <row r="204" spans="1:11" x14ac:dyDescent="0.25">
      <c r="A204" s="3" t="s">
        <v>187</v>
      </c>
      <c r="B204" s="7">
        <v>-53553000</v>
      </c>
      <c r="C204" s="7">
        <v>-208797000</v>
      </c>
      <c r="D204" s="7">
        <v>-235975000</v>
      </c>
      <c r="E204" s="7">
        <v>-276641000</v>
      </c>
      <c r="F204" s="7">
        <v>-354333000</v>
      </c>
      <c r="G204" s="7">
        <v>-283685000</v>
      </c>
      <c r="H204" s="7">
        <v>-359141000</v>
      </c>
      <c r="I204" s="7">
        <v>-218871000</v>
      </c>
      <c r="J204" s="7">
        <v>-176099000</v>
      </c>
      <c r="K204" s="7">
        <v>-226870000</v>
      </c>
    </row>
    <row r="205" spans="1:11" x14ac:dyDescent="0.25">
      <c r="A205" s="6" t="s">
        <v>188</v>
      </c>
      <c r="B205" s="9">
        <v>83415000</v>
      </c>
      <c r="C205" s="9">
        <v>15810999.999</v>
      </c>
      <c r="D205" s="9">
        <v>24806000</v>
      </c>
      <c r="E205" s="9">
        <v>46050000</v>
      </c>
      <c r="F205" s="9">
        <v>40645000</v>
      </c>
      <c r="G205" s="9">
        <v>34851000</v>
      </c>
      <c r="H205" s="9">
        <v>38680000</v>
      </c>
      <c r="I205" s="9">
        <v>11793000</v>
      </c>
      <c r="J205" s="9">
        <v>65478000</v>
      </c>
      <c r="K205" s="9">
        <v>94479000</v>
      </c>
    </row>
    <row r="206" spans="1:11" x14ac:dyDescent="0.25">
      <c r="A206" s="6" t="s">
        <v>189</v>
      </c>
      <c r="B206" s="9">
        <v>136968000</v>
      </c>
      <c r="C206" s="9">
        <v>224608000</v>
      </c>
      <c r="D206" s="9">
        <v>260781000</v>
      </c>
      <c r="E206" s="9">
        <v>322691000</v>
      </c>
      <c r="F206" s="9">
        <v>394978000</v>
      </c>
      <c r="G206" s="9">
        <v>318536000</v>
      </c>
      <c r="H206" s="9">
        <v>397821000</v>
      </c>
      <c r="I206" s="9">
        <v>230664000</v>
      </c>
      <c r="J206" s="9">
        <v>241577000</v>
      </c>
      <c r="K206" s="9">
        <v>321349000</v>
      </c>
    </row>
    <row r="207" spans="1:11" x14ac:dyDescent="0.25">
      <c r="A207" s="3" t="s">
        <v>190</v>
      </c>
      <c r="B207" s="7">
        <v>238521000</v>
      </c>
      <c r="C207" s="7">
        <v>193620000</v>
      </c>
      <c r="D207" s="7">
        <v>166174000</v>
      </c>
      <c r="E207" s="7">
        <v>194445000</v>
      </c>
      <c r="F207" s="7">
        <v>105014000</v>
      </c>
      <c r="G207" s="7">
        <v>178344000</v>
      </c>
      <c r="H207" s="7">
        <v>237630000</v>
      </c>
      <c r="I207" s="7">
        <v>490921000</v>
      </c>
      <c r="J207" s="7">
        <v>-91801000</v>
      </c>
      <c r="K207" s="7">
        <v>512319000</v>
      </c>
    </row>
    <row r="208" spans="1:11" x14ac:dyDescent="0.25">
      <c r="A208" s="3" t="s">
        <v>191</v>
      </c>
      <c r="B208" s="7">
        <v>103869000</v>
      </c>
      <c r="C208" s="7">
        <v>25217000</v>
      </c>
      <c r="D208" s="7">
        <v>-6995000.0000999998</v>
      </c>
      <c r="E208" s="7">
        <v>32215000</v>
      </c>
      <c r="F208" s="7">
        <v>41568000</v>
      </c>
      <c r="G208" s="7">
        <v>73943000</v>
      </c>
      <c r="H208" s="7">
        <v>136939000</v>
      </c>
      <c r="I208" s="7">
        <v>46360000</v>
      </c>
      <c r="J208" s="7">
        <v>19260000</v>
      </c>
      <c r="K208" s="7">
        <v>297849000</v>
      </c>
    </row>
    <row r="209" spans="1:11" x14ac:dyDescent="0.25">
      <c r="A209" s="6" t="s">
        <v>192</v>
      </c>
      <c r="B209" s="9">
        <v>81572000</v>
      </c>
      <c r="C209" s="9">
        <v>68439000</v>
      </c>
      <c r="D209" s="9">
        <v>87864000</v>
      </c>
      <c r="E209" s="9">
        <v>83677000</v>
      </c>
      <c r="F209" s="9">
        <v>102980000</v>
      </c>
      <c r="G209" s="9">
        <v>107418000</v>
      </c>
      <c r="H209" s="9">
        <v>157575000</v>
      </c>
      <c r="I209" s="9">
        <v>163510000</v>
      </c>
      <c r="J209" s="9">
        <v>99251000</v>
      </c>
      <c r="K209" s="9">
        <v>302408000</v>
      </c>
    </row>
    <row r="210" spans="1:11" x14ac:dyDescent="0.25">
      <c r="A210" s="6" t="s">
        <v>193</v>
      </c>
      <c r="B210" s="9">
        <v>22297000</v>
      </c>
      <c r="C210" s="9">
        <v>-43222000</v>
      </c>
      <c r="D210" s="9">
        <v>-94859000</v>
      </c>
      <c r="E210" s="9">
        <v>-51462000</v>
      </c>
      <c r="F210" s="9">
        <v>-61412000</v>
      </c>
      <c r="G210" s="9">
        <v>-33475000</v>
      </c>
      <c r="H210" s="9">
        <v>-20636000</v>
      </c>
      <c r="I210" s="9">
        <v>-117150000</v>
      </c>
      <c r="J210" s="9">
        <v>-79991000</v>
      </c>
      <c r="K210" s="9">
        <v>-4559000</v>
      </c>
    </row>
    <row r="211" spans="1:11" x14ac:dyDescent="0.25">
      <c r="A211" s="3" t="s">
        <v>194</v>
      </c>
      <c r="B211" s="7">
        <v>134652000</v>
      </c>
      <c r="C211" s="7">
        <v>168403000</v>
      </c>
      <c r="D211" s="7">
        <v>173169000</v>
      </c>
      <c r="E211" s="7">
        <v>162230000</v>
      </c>
      <c r="F211" s="7">
        <v>63446000</v>
      </c>
      <c r="G211" s="7">
        <v>104401000</v>
      </c>
      <c r="H211" s="7">
        <v>100691000</v>
      </c>
      <c r="I211" s="7">
        <v>444561000</v>
      </c>
      <c r="J211" s="7">
        <v>-111061000</v>
      </c>
      <c r="K211" s="7">
        <v>214470000</v>
      </c>
    </row>
    <row r="212" spans="1:11" x14ac:dyDescent="0.25">
      <c r="A212" s="3" t="s">
        <v>195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</row>
    <row r="213" spans="1:11" x14ac:dyDescent="0.25">
      <c r="A213" s="6" t="s">
        <v>196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</row>
    <row r="214" spans="1:11" x14ac:dyDescent="0.25">
      <c r="A214" s="6" t="s">
        <v>197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</row>
    <row r="215" spans="1:11" x14ac:dyDescent="0.25">
      <c r="A215" s="3" t="s">
        <v>198</v>
      </c>
      <c r="B215" s="7">
        <v>134652000</v>
      </c>
      <c r="C215" s="7">
        <v>168403000</v>
      </c>
      <c r="D215" s="7">
        <v>173169000</v>
      </c>
      <c r="E215" s="7">
        <v>162230000</v>
      </c>
      <c r="F215" s="7">
        <v>63446000</v>
      </c>
      <c r="G215" s="7">
        <v>104401000</v>
      </c>
      <c r="H215" s="7">
        <v>100691000</v>
      </c>
      <c r="I215" s="7">
        <v>444561000</v>
      </c>
      <c r="J215" s="7">
        <v>-111061000</v>
      </c>
      <c r="K215" s="7">
        <v>214470000</v>
      </c>
    </row>
    <row r="216" spans="1:11" x14ac:dyDescent="0.25">
      <c r="A216" s="3" t="s">
        <v>199</v>
      </c>
      <c r="B216" s="7">
        <v>14412000</v>
      </c>
      <c r="C216" s="7">
        <v>45563000</v>
      </c>
      <c r="D216" s="7">
        <v>46547000</v>
      </c>
      <c r="E216" s="7">
        <v>53331000</v>
      </c>
      <c r="F216" s="7">
        <v>77853000</v>
      </c>
      <c r="G216" s="7">
        <v>59341000</v>
      </c>
      <c r="H216" s="7">
        <v>86438000</v>
      </c>
      <c r="I216" s="7">
        <v>100917000</v>
      </c>
      <c r="J216" s="7">
        <v>68195000</v>
      </c>
      <c r="K216" s="7">
        <v>96758000</v>
      </c>
    </row>
    <row r="217" spans="1:11" x14ac:dyDescent="0.25">
      <c r="A217" s="3" t="s">
        <v>200</v>
      </c>
      <c r="B217" s="7">
        <v>120240000</v>
      </c>
      <c r="C217" s="7">
        <v>122840000</v>
      </c>
      <c r="D217" s="7">
        <v>126622000</v>
      </c>
      <c r="E217" s="7">
        <v>108899000</v>
      </c>
      <c r="F217" s="7">
        <v>-14407000</v>
      </c>
      <c r="G217" s="7">
        <v>45060000</v>
      </c>
      <c r="H217" s="7">
        <v>14253000</v>
      </c>
      <c r="I217" s="7">
        <v>343644000</v>
      </c>
      <c r="J217" s="7">
        <v>-179256000</v>
      </c>
      <c r="K217" s="7">
        <v>117712000</v>
      </c>
    </row>
    <row r="218" spans="1:11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25">
      <c r="A219" s="3" t="s">
        <v>201</v>
      </c>
      <c r="B219" s="5" t="s">
        <v>2</v>
      </c>
      <c r="C219" s="5" t="s">
        <v>2</v>
      </c>
      <c r="D219" s="5" t="s">
        <v>2</v>
      </c>
      <c r="E219" s="5" t="s">
        <v>2</v>
      </c>
      <c r="F219" s="5" t="s">
        <v>2</v>
      </c>
      <c r="G219" s="5" t="s">
        <v>2</v>
      </c>
      <c r="H219" s="5" t="s">
        <v>2</v>
      </c>
      <c r="I219" s="5" t="s">
        <v>2</v>
      </c>
      <c r="J219" s="5" t="s">
        <v>2</v>
      </c>
      <c r="K219" s="5" t="s">
        <v>2</v>
      </c>
    </row>
    <row r="220" spans="1:11" x14ac:dyDescent="0.25">
      <c r="A220" s="3" t="s">
        <v>175</v>
      </c>
      <c r="B220" s="5">
        <v>12</v>
      </c>
      <c r="C220" s="5">
        <v>12</v>
      </c>
      <c r="D220" s="5">
        <v>12</v>
      </c>
      <c r="E220" s="5">
        <v>12</v>
      </c>
      <c r="F220" s="5">
        <v>12</v>
      </c>
      <c r="G220" s="5">
        <v>12</v>
      </c>
      <c r="H220" s="5">
        <v>12</v>
      </c>
      <c r="I220" s="5">
        <v>12</v>
      </c>
      <c r="J220" s="5">
        <v>12</v>
      </c>
      <c r="K220" s="5">
        <v>12</v>
      </c>
    </row>
    <row r="221" spans="1:11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25">
      <c r="A222" s="3" t="s">
        <v>202</v>
      </c>
      <c r="B222" s="7">
        <v>366708000</v>
      </c>
      <c r="C222" s="7">
        <v>-29541000</v>
      </c>
      <c r="D222" s="7">
        <v>347352000</v>
      </c>
      <c r="E222" s="7">
        <v>332664000</v>
      </c>
      <c r="F222" s="7">
        <v>168249000</v>
      </c>
      <c r="G222" s="7">
        <v>206894000</v>
      </c>
      <c r="H222" s="7">
        <v>376071000</v>
      </c>
      <c r="I222" s="7">
        <v>605844000</v>
      </c>
      <c r="J222" s="7">
        <v>256587000</v>
      </c>
      <c r="K222" s="7">
        <v>422167000</v>
      </c>
    </row>
    <row r="223" spans="1:11" x14ac:dyDescent="0.25">
      <c r="A223" s="6" t="s">
        <v>203</v>
      </c>
      <c r="B223" s="9">
        <v>543653000</v>
      </c>
      <c r="C223" s="9">
        <v>273732000</v>
      </c>
      <c r="D223" s="9">
        <v>475363000</v>
      </c>
      <c r="E223" s="9">
        <v>762795000</v>
      </c>
      <c r="F223" s="9">
        <v>802433000</v>
      </c>
      <c r="G223" s="9">
        <v>812542000</v>
      </c>
      <c r="H223" s="9">
        <v>943640000</v>
      </c>
      <c r="I223" s="9">
        <v>1168057000</v>
      </c>
      <c r="J223" s="9">
        <v>693116000</v>
      </c>
      <c r="K223" s="9">
        <v>1194041000</v>
      </c>
    </row>
    <row r="224" spans="1:11" x14ac:dyDescent="0.25">
      <c r="A224" s="8" t="s">
        <v>204</v>
      </c>
      <c r="B224" s="11">
        <v>238521000</v>
      </c>
      <c r="C224" s="11">
        <v>123761000</v>
      </c>
      <c r="D224" s="11">
        <v>173169000</v>
      </c>
      <c r="E224" s="11">
        <v>162230000</v>
      </c>
      <c r="F224" s="11">
        <v>63446000</v>
      </c>
      <c r="G224" s="11">
        <v>104401000</v>
      </c>
      <c r="H224" s="11">
        <v>100691000</v>
      </c>
      <c r="I224" s="11">
        <v>444561000</v>
      </c>
      <c r="J224" s="11">
        <v>-111061000</v>
      </c>
      <c r="K224" s="11">
        <v>214470000</v>
      </c>
    </row>
    <row r="225" spans="1:11" x14ac:dyDescent="0.25">
      <c r="A225" s="8" t="s">
        <v>205</v>
      </c>
      <c r="B225" s="11">
        <v>106228000</v>
      </c>
      <c r="C225" s="11">
        <v>200343000</v>
      </c>
      <c r="D225" s="11">
        <v>232066000</v>
      </c>
      <c r="E225" s="11">
        <v>261136000</v>
      </c>
      <c r="F225" s="11">
        <v>325250000</v>
      </c>
      <c r="G225" s="11">
        <v>297861000</v>
      </c>
      <c r="H225" s="11">
        <v>324765000</v>
      </c>
      <c r="I225" s="11">
        <v>391438000</v>
      </c>
      <c r="J225" s="11">
        <v>470285000</v>
      </c>
      <c r="K225" s="11">
        <v>588168000</v>
      </c>
    </row>
    <row r="226" spans="1:11" x14ac:dyDescent="0.25">
      <c r="A226" s="8" t="s">
        <v>206</v>
      </c>
      <c r="B226" s="11">
        <v>103029000</v>
      </c>
      <c r="C226" s="11">
        <v>294558000</v>
      </c>
      <c r="D226" s="11">
        <v>96484000</v>
      </c>
      <c r="E226" s="11">
        <v>373910000</v>
      </c>
      <c r="F226" s="11">
        <v>333052000</v>
      </c>
      <c r="G226" s="11">
        <v>273120000</v>
      </c>
      <c r="H226" s="11">
        <v>205610000</v>
      </c>
      <c r="I226" s="11">
        <v>217079000</v>
      </c>
      <c r="J226" s="11">
        <v>153972000</v>
      </c>
      <c r="K226" s="11">
        <v>274480000</v>
      </c>
    </row>
    <row r="227" spans="1:11" x14ac:dyDescent="0.25">
      <c r="A227" s="8" t="s">
        <v>207</v>
      </c>
      <c r="B227" s="11">
        <v>0</v>
      </c>
      <c r="C227" s="11">
        <v>0</v>
      </c>
      <c r="D227" s="11">
        <v>0</v>
      </c>
      <c r="E227" s="11">
        <v>-14991000</v>
      </c>
      <c r="F227" s="11">
        <v>0</v>
      </c>
      <c r="G227" s="11">
        <v>-68710000</v>
      </c>
      <c r="H227" s="11">
        <v>-19910000</v>
      </c>
      <c r="I227" s="11">
        <v>0</v>
      </c>
      <c r="J227" s="11">
        <v>0</v>
      </c>
      <c r="K227" s="11">
        <v>0</v>
      </c>
    </row>
    <row r="228" spans="1:11" x14ac:dyDescent="0.25">
      <c r="A228" s="8" t="s">
        <v>208</v>
      </c>
      <c r="B228" s="11">
        <v>47116000</v>
      </c>
      <c r="C228" s="11">
        <v>9211000</v>
      </c>
      <c r="D228" s="11">
        <v>45919000</v>
      </c>
      <c r="E228" s="11">
        <v>18801000</v>
      </c>
      <c r="F228" s="11">
        <v>48066000</v>
      </c>
      <c r="G228" s="11">
        <v>11955000</v>
      </c>
      <c r="H228" s="11">
        <v>15020000</v>
      </c>
      <c r="I228" s="11">
        <v>28704000</v>
      </c>
      <c r="J228" s="11">
        <v>67659000</v>
      </c>
      <c r="K228" s="11">
        <v>58025000</v>
      </c>
    </row>
    <row r="229" spans="1:11" x14ac:dyDescent="0.25">
      <c r="A229" s="8" t="s">
        <v>209</v>
      </c>
      <c r="B229" s="11">
        <v>0</v>
      </c>
      <c r="C229" s="11">
        <v>-7022000</v>
      </c>
      <c r="D229" s="11">
        <v>34083000</v>
      </c>
      <c r="E229" s="11">
        <v>-74286000</v>
      </c>
      <c r="F229" s="11">
        <v>15967000</v>
      </c>
      <c r="G229" s="11">
        <v>36061000</v>
      </c>
      <c r="H229" s="11">
        <v>6741000</v>
      </c>
      <c r="I229" s="11">
        <v>20249000</v>
      </c>
      <c r="J229" s="11">
        <v>9058000</v>
      </c>
      <c r="K229" s="11">
        <v>-10263000</v>
      </c>
    </row>
    <row r="230" spans="1:11" x14ac:dyDescent="0.25">
      <c r="A230" s="8" t="s">
        <v>210</v>
      </c>
      <c r="B230" s="11">
        <v>22297000</v>
      </c>
      <c r="C230" s="11">
        <v>-43223000</v>
      </c>
      <c r="D230" s="11">
        <v>-94858000</v>
      </c>
      <c r="E230" s="11">
        <v>-5980000</v>
      </c>
      <c r="F230" s="11">
        <v>41568000</v>
      </c>
      <c r="G230" s="11">
        <v>73943000</v>
      </c>
      <c r="H230" s="11">
        <v>136939000</v>
      </c>
      <c r="I230" s="11">
        <v>46360000</v>
      </c>
      <c r="J230" s="11">
        <v>19260000</v>
      </c>
      <c r="K230" s="11">
        <v>297849000</v>
      </c>
    </row>
    <row r="231" spans="1:11" x14ac:dyDescent="0.25">
      <c r="A231" s="8" t="s">
        <v>211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</row>
    <row r="232" spans="1:11" x14ac:dyDescent="0.25">
      <c r="A232" s="8" t="s">
        <v>212</v>
      </c>
      <c r="B232" s="11">
        <v>26462000</v>
      </c>
      <c r="C232" s="11">
        <v>-303896000</v>
      </c>
      <c r="D232" s="11">
        <v>-11499999.999</v>
      </c>
      <c r="E232" s="11">
        <v>41975000</v>
      </c>
      <c r="F232" s="11">
        <v>-24916000</v>
      </c>
      <c r="G232" s="11">
        <v>83911000</v>
      </c>
      <c r="H232" s="11">
        <v>173784000</v>
      </c>
      <c r="I232" s="11">
        <v>19666000</v>
      </c>
      <c r="J232" s="11">
        <v>83943000</v>
      </c>
      <c r="K232" s="11">
        <v>-228688000</v>
      </c>
    </row>
    <row r="233" spans="1:11" x14ac:dyDescent="0.25">
      <c r="A233" s="6" t="s">
        <v>213</v>
      </c>
      <c r="B233" s="9">
        <v>-176945000</v>
      </c>
      <c r="C233" s="9">
        <v>-303273000</v>
      </c>
      <c r="D233" s="9">
        <v>-128011000</v>
      </c>
      <c r="E233" s="9">
        <v>-430131000</v>
      </c>
      <c r="F233" s="9">
        <v>-634184000</v>
      </c>
      <c r="G233" s="9">
        <v>-605648000</v>
      </c>
      <c r="H233" s="9">
        <v>-567569000</v>
      </c>
      <c r="I233" s="9">
        <v>-562213000</v>
      </c>
      <c r="J233" s="9">
        <v>-436529000</v>
      </c>
      <c r="K233" s="9">
        <v>-771874000</v>
      </c>
    </row>
    <row r="234" spans="1:11" x14ac:dyDescent="0.25">
      <c r="A234" s="8" t="s">
        <v>214</v>
      </c>
      <c r="B234" s="11">
        <v>-73941000</v>
      </c>
      <c r="C234" s="11">
        <v>-109610000</v>
      </c>
      <c r="D234" s="11">
        <v>107916000</v>
      </c>
      <c r="E234" s="11">
        <v>-99932000</v>
      </c>
      <c r="F234" s="11">
        <v>-27962000</v>
      </c>
      <c r="G234" s="11">
        <v>-319847000</v>
      </c>
      <c r="H234" s="11">
        <v>-193244000</v>
      </c>
      <c r="I234" s="11">
        <v>39124000</v>
      </c>
      <c r="J234" s="11">
        <v>764432000</v>
      </c>
      <c r="K234" s="11">
        <v>-859329000</v>
      </c>
    </row>
    <row r="235" spans="1:11" x14ac:dyDescent="0.25">
      <c r="A235" s="8" t="s">
        <v>215</v>
      </c>
      <c r="B235" s="11">
        <v>-46731000</v>
      </c>
      <c r="C235" s="11">
        <v>38327000</v>
      </c>
      <c r="D235" s="11">
        <v>-12218000</v>
      </c>
      <c r="E235" s="11">
        <v>-138616000</v>
      </c>
      <c r="F235" s="11">
        <v>-32728000</v>
      </c>
      <c r="G235" s="11">
        <v>-308203000</v>
      </c>
      <c r="H235" s="11">
        <v>-245330000</v>
      </c>
      <c r="I235" s="11">
        <v>25939000</v>
      </c>
      <c r="J235" s="11">
        <v>89823000</v>
      </c>
      <c r="K235" s="11">
        <v>-902854000</v>
      </c>
    </row>
    <row r="236" spans="1:11" x14ac:dyDescent="0.25">
      <c r="A236" s="8" t="s">
        <v>216</v>
      </c>
      <c r="B236" s="11">
        <v>-38664000</v>
      </c>
      <c r="C236" s="11">
        <v>-51585000</v>
      </c>
      <c r="D236" s="11">
        <v>-58542000</v>
      </c>
      <c r="E236" s="11">
        <v>83701000</v>
      </c>
      <c r="F236" s="11">
        <v>-42140000</v>
      </c>
      <c r="G236" s="11">
        <v>-73392000</v>
      </c>
      <c r="H236" s="11">
        <v>-4809000</v>
      </c>
      <c r="I236" s="11">
        <v>-67001000</v>
      </c>
      <c r="J236" s="11">
        <v>15441000</v>
      </c>
      <c r="K236" s="11">
        <v>-365167000</v>
      </c>
    </row>
    <row r="237" spans="1:11" x14ac:dyDescent="0.25">
      <c r="A237" s="8" t="s">
        <v>217</v>
      </c>
      <c r="B237" s="11">
        <v>61966000</v>
      </c>
      <c r="C237" s="11">
        <v>78848000</v>
      </c>
      <c r="D237" s="11">
        <v>43295000</v>
      </c>
      <c r="E237" s="11">
        <v>165154000</v>
      </c>
      <c r="F237" s="11">
        <v>-108057000</v>
      </c>
      <c r="G237" s="11">
        <v>268211000</v>
      </c>
      <c r="H237" s="11">
        <v>216170000</v>
      </c>
      <c r="I237" s="11">
        <v>-114510000</v>
      </c>
      <c r="J237" s="11">
        <v>-737346000</v>
      </c>
      <c r="K237" s="11">
        <v>1212240000</v>
      </c>
    </row>
    <row r="238" spans="1:11" x14ac:dyDescent="0.25">
      <c r="A238" s="8" t="s">
        <v>218</v>
      </c>
      <c r="B238" s="11">
        <v>-81572000</v>
      </c>
      <c r="C238" s="11">
        <v>-63677000</v>
      </c>
      <c r="D238" s="11">
        <v>-83594000</v>
      </c>
      <c r="E238" s="11">
        <v>-132417000</v>
      </c>
      <c r="F238" s="11">
        <v>-142352000</v>
      </c>
      <c r="G238" s="11">
        <v>-127159000</v>
      </c>
      <c r="H238" s="11">
        <v>-165796000</v>
      </c>
      <c r="I238" s="11">
        <v>-180068000</v>
      </c>
      <c r="J238" s="11">
        <v>-119445000</v>
      </c>
      <c r="K238" s="11">
        <v>-162479000</v>
      </c>
    </row>
    <row r="239" spans="1:11" x14ac:dyDescent="0.25">
      <c r="A239" s="8" t="s">
        <v>219</v>
      </c>
      <c r="B239" s="11">
        <v>1997000</v>
      </c>
      <c r="C239" s="11">
        <v>-195576000</v>
      </c>
      <c r="D239" s="11">
        <v>-124868000</v>
      </c>
      <c r="E239" s="11">
        <v>-308021000</v>
      </c>
      <c r="F239" s="11">
        <v>-280945000</v>
      </c>
      <c r="G239" s="11">
        <v>-45258000</v>
      </c>
      <c r="H239" s="11">
        <v>-174560000</v>
      </c>
      <c r="I239" s="11">
        <v>-265697000</v>
      </c>
      <c r="J239" s="11">
        <v>-449434000</v>
      </c>
      <c r="K239" s="11">
        <v>305715000</v>
      </c>
    </row>
    <row r="240" spans="1:11" x14ac:dyDescent="0.25">
      <c r="A240" s="6" t="s">
        <v>220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</row>
    <row r="241" spans="1:11" x14ac:dyDescent="0.25">
      <c r="A241" s="3" t="s">
        <v>221</v>
      </c>
      <c r="B241" s="7">
        <v>-1953813000</v>
      </c>
      <c r="C241" s="7">
        <v>463237000</v>
      </c>
      <c r="D241" s="7">
        <v>-281160000</v>
      </c>
      <c r="E241" s="7">
        <v>-299208000</v>
      </c>
      <c r="F241" s="7">
        <v>-293707000</v>
      </c>
      <c r="G241" s="7">
        <v>315070000</v>
      </c>
      <c r="H241" s="7">
        <v>-882729000</v>
      </c>
      <c r="I241" s="7">
        <v>-538732000</v>
      </c>
      <c r="J241" s="7">
        <v>-470617000</v>
      </c>
      <c r="K241" s="7">
        <v>-291089000</v>
      </c>
    </row>
    <row r="242" spans="1:11" x14ac:dyDescent="0.25">
      <c r="A242" s="6" t="s">
        <v>222</v>
      </c>
      <c r="B242" s="9">
        <v>-1953813000</v>
      </c>
      <c r="C242" s="9">
        <v>417400000</v>
      </c>
      <c r="D242" s="9">
        <v>-281160000</v>
      </c>
      <c r="E242" s="9">
        <v>-299208000</v>
      </c>
      <c r="F242" s="9">
        <v>-293707000</v>
      </c>
      <c r="G242" s="9">
        <v>-239352000</v>
      </c>
      <c r="H242" s="9">
        <v>-328307000</v>
      </c>
      <c r="I242" s="9">
        <v>-538732000</v>
      </c>
      <c r="J242" s="9">
        <v>-490710000</v>
      </c>
      <c r="K242" s="9">
        <v>-291089000</v>
      </c>
    </row>
    <row r="243" spans="1:11" x14ac:dyDescent="0.25">
      <c r="A243" s="8" t="s">
        <v>223</v>
      </c>
      <c r="B243" s="11">
        <v>-1702508000</v>
      </c>
      <c r="C243" s="11">
        <v>624593000</v>
      </c>
      <c r="D243" s="15" t="s">
        <v>14</v>
      </c>
      <c r="E243" s="15" t="s">
        <v>14</v>
      </c>
      <c r="F243" s="11">
        <v>0</v>
      </c>
      <c r="G243" s="11">
        <v>0</v>
      </c>
      <c r="H243" s="11">
        <v>0</v>
      </c>
      <c r="I243" s="11">
        <v>0</v>
      </c>
      <c r="J243" s="11">
        <v>-60934000</v>
      </c>
      <c r="K243" s="11">
        <v>0</v>
      </c>
    </row>
    <row r="244" spans="1:11" x14ac:dyDescent="0.25">
      <c r="A244" s="8" t="s">
        <v>224</v>
      </c>
      <c r="B244" s="11">
        <v>-251305000</v>
      </c>
      <c r="C244" s="11">
        <v>-207193000</v>
      </c>
      <c r="D244" s="15" t="s">
        <v>14</v>
      </c>
      <c r="E244" s="15" t="s">
        <v>14</v>
      </c>
      <c r="F244" s="11">
        <v>-312620000</v>
      </c>
      <c r="G244" s="11">
        <v>-239352000</v>
      </c>
      <c r="H244" s="11">
        <v>-328307000</v>
      </c>
      <c r="I244" s="11">
        <v>-538732000</v>
      </c>
      <c r="J244" s="11">
        <v>-429776000</v>
      </c>
      <c r="K244" s="11">
        <v>-291089000</v>
      </c>
    </row>
    <row r="245" spans="1:11" x14ac:dyDescent="0.25">
      <c r="A245" s="8" t="s">
        <v>225</v>
      </c>
      <c r="B245" s="11">
        <v>0</v>
      </c>
      <c r="C245" s="11">
        <v>0</v>
      </c>
      <c r="D245" s="15" t="s">
        <v>14</v>
      </c>
      <c r="E245" s="15" t="s">
        <v>14</v>
      </c>
      <c r="F245" s="11">
        <v>18913000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</row>
    <row r="246" spans="1:11" x14ac:dyDescent="0.25">
      <c r="A246" s="6" t="s">
        <v>226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</row>
    <row r="247" spans="1:11" x14ac:dyDescent="0.25">
      <c r="A247" s="6" t="s">
        <v>227</v>
      </c>
      <c r="B247" s="9">
        <v>0</v>
      </c>
      <c r="C247" s="9">
        <v>45837000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</row>
    <row r="248" spans="1:11" x14ac:dyDescent="0.25">
      <c r="A248" s="6" t="s">
        <v>228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554422000</v>
      </c>
      <c r="H248" s="9">
        <v>-554422000</v>
      </c>
      <c r="I248" s="9">
        <v>0</v>
      </c>
      <c r="J248" s="9">
        <v>20093000</v>
      </c>
      <c r="K248" s="9">
        <v>0</v>
      </c>
    </row>
    <row r="249" spans="1:11" x14ac:dyDescent="0.25">
      <c r="A249" s="3" t="s">
        <v>229</v>
      </c>
      <c r="B249" s="7">
        <v>1854759000</v>
      </c>
      <c r="C249" s="7">
        <v>-452578000</v>
      </c>
      <c r="D249" s="7">
        <v>55655000</v>
      </c>
      <c r="E249" s="7">
        <v>-11186999.999</v>
      </c>
      <c r="F249" s="7">
        <v>-89148000</v>
      </c>
      <c r="G249" s="7">
        <v>-340728000</v>
      </c>
      <c r="H249" s="7">
        <v>48504000</v>
      </c>
      <c r="I249" s="7">
        <v>-35503000</v>
      </c>
      <c r="J249" s="7">
        <v>1074814000</v>
      </c>
      <c r="K249" s="7">
        <v>-53301000</v>
      </c>
    </row>
    <row r="250" spans="1:11" x14ac:dyDescent="0.25">
      <c r="A250" s="6" t="s">
        <v>230</v>
      </c>
      <c r="B250" s="9">
        <v>1943519000</v>
      </c>
      <c r="C250" s="9">
        <v>-426841000</v>
      </c>
      <c r="D250" s="9">
        <v>166123000</v>
      </c>
      <c r="E250" s="9">
        <v>75308000</v>
      </c>
      <c r="F250" s="9">
        <v>-11235000</v>
      </c>
      <c r="G250" s="9">
        <v>-245719000</v>
      </c>
      <c r="H250" s="9">
        <v>-355453000</v>
      </c>
      <c r="I250" s="9">
        <v>186592000</v>
      </c>
      <c r="J250" s="9">
        <v>1205205000</v>
      </c>
      <c r="K250" s="9">
        <v>49789000</v>
      </c>
    </row>
    <row r="251" spans="1:11" x14ac:dyDescent="0.25">
      <c r="A251" s="8" t="s">
        <v>231</v>
      </c>
      <c r="B251" s="11">
        <v>2865954000</v>
      </c>
      <c r="C251" s="11">
        <v>2020219000</v>
      </c>
      <c r="D251" s="11">
        <v>589964000</v>
      </c>
      <c r="E251" s="11">
        <v>743387000</v>
      </c>
      <c r="F251" s="11">
        <v>2542087000</v>
      </c>
      <c r="G251" s="11">
        <v>2274956000</v>
      </c>
      <c r="H251" s="11">
        <v>1949129000</v>
      </c>
      <c r="I251" s="11">
        <v>2101029000</v>
      </c>
      <c r="J251" s="11">
        <v>2653399000</v>
      </c>
      <c r="K251" s="11">
        <v>3878663000</v>
      </c>
    </row>
    <row r="252" spans="1:11" x14ac:dyDescent="0.25">
      <c r="A252" s="8" t="s">
        <v>232</v>
      </c>
      <c r="B252" s="11">
        <v>-922435000</v>
      </c>
      <c r="C252" s="11">
        <v>-2447060000</v>
      </c>
      <c r="D252" s="11">
        <v>-423841000</v>
      </c>
      <c r="E252" s="11">
        <v>-668079000</v>
      </c>
      <c r="F252" s="11">
        <v>-2553322000</v>
      </c>
      <c r="G252" s="11">
        <v>-2520675000</v>
      </c>
      <c r="H252" s="11">
        <v>-2304582000</v>
      </c>
      <c r="I252" s="11">
        <v>-1914437000</v>
      </c>
      <c r="J252" s="11">
        <v>-1448194000</v>
      </c>
      <c r="K252" s="11">
        <v>-3828874000</v>
      </c>
    </row>
    <row r="253" spans="1:11" x14ac:dyDescent="0.25">
      <c r="A253" s="6" t="s">
        <v>233</v>
      </c>
      <c r="B253" s="9">
        <v>-1916000</v>
      </c>
      <c r="C253" s="9">
        <v>999.99999773000002</v>
      </c>
      <c r="D253" s="9">
        <v>0</v>
      </c>
      <c r="E253" s="9">
        <v>0</v>
      </c>
      <c r="F253" s="9">
        <v>0</v>
      </c>
      <c r="G253" s="9">
        <v>-6834000</v>
      </c>
      <c r="H253" s="9">
        <v>564291000</v>
      </c>
      <c r="I253" s="9">
        <v>-2942000</v>
      </c>
      <c r="J253" s="9">
        <v>39917000</v>
      </c>
      <c r="K253" s="9">
        <v>0</v>
      </c>
    </row>
    <row r="254" spans="1:11" x14ac:dyDescent="0.25">
      <c r="A254" s="8" t="s">
        <v>234</v>
      </c>
      <c r="B254" s="11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577398000</v>
      </c>
      <c r="I254" s="11">
        <v>0</v>
      </c>
      <c r="J254" s="11">
        <v>39938000</v>
      </c>
      <c r="K254" s="11">
        <v>0</v>
      </c>
    </row>
    <row r="255" spans="1:11" x14ac:dyDescent="0.25">
      <c r="A255" s="8" t="s">
        <v>235</v>
      </c>
      <c r="B255" s="11">
        <v>-1916000</v>
      </c>
      <c r="C255" s="11">
        <v>999.99999773000002</v>
      </c>
      <c r="D255" s="11">
        <v>0</v>
      </c>
      <c r="E255" s="11">
        <v>0</v>
      </c>
      <c r="F255" s="11">
        <v>0</v>
      </c>
      <c r="G255" s="11">
        <v>-6834000</v>
      </c>
      <c r="H255" s="11">
        <v>-13107000</v>
      </c>
      <c r="I255" s="11">
        <v>-2942000</v>
      </c>
      <c r="J255" s="11">
        <v>-21000</v>
      </c>
      <c r="K255" s="11">
        <v>0</v>
      </c>
    </row>
    <row r="256" spans="1:11" x14ac:dyDescent="0.25">
      <c r="A256" s="6" t="s">
        <v>236</v>
      </c>
      <c r="B256" s="9">
        <v>-86844000</v>
      </c>
      <c r="C256" s="9">
        <v>-25738000</v>
      </c>
      <c r="D256" s="9">
        <v>-110468000</v>
      </c>
      <c r="E256" s="9">
        <v>-86495000</v>
      </c>
      <c r="F256" s="9">
        <v>-77913000</v>
      </c>
      <c r="G256" s="9">
        <v>-88175000</v>
      </c>
      <c r="H256" s="9">
        <v>-127031000</v>
      </c>
      <c r="I256" s="9">
        <v>-219885000</v>
      </c>
      <c r="J256" s="9">
        <v>-202879000</v>
      </c>
      <c r="K256" s="9">
        <v>-103090000</v>
      </c>
    </row>
    <row r="257" spans="1:11" x14ac:dyDescent="0.25">
      <c r="A257" s="6" t="s">
        <v>237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-33303000</v>
      </c>
      <c r="I257" s="9">
        <v>732000</v>
      </c>
      <c r="J257" s="9">
        <v>32571000</v>
      </c>
      <c r="K257" s="9">
        <v>0</v>
      </c>
    </row>
    <row r="258" spans="1:11" x14ac:dyDescent="0.25">
      <c r="A258" s="3" t="s">
        <v>238</v>
      </c>
      <c r="B258" s="7">
        <v>-125424000</v>
      </c>
      <c r="C258" s="7">
        <v>128532000</v>
      </c>
      <c r="D258" s="7">
        <v>61120000</v>
      </c>
      <c r="E258" s="7">
        <v>40759000</v>
      </c>
      <c r="F258" s="7">
        <v>48729000</v>
      </c>
      <c r="G258" s="7">
        <v>5083000.0000999998</v>
      </c>
      <c r="H258" s="7">
        <v>75543000</v>
      </c>
      <c r="I258" s="7">
        <v>8525999.9999000002</v>
      </c>
      <c r="J258" s="7">
        <v>178751000</v>
      </c>
      <c r="K258" s="7">
        <v>-115093000</v>
      </c>
    </row>
    <row r="259" spans="1:11" x14ac:dyDescent="0.25">
      <c r="A259" s="3" t="s">
        <v>239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</row>
    <row r="260" spans="1:11" x14ac:dyDescent="0.25">
      <c r="A260" s="3" t="s">
        <v>240</v>
      </c>
      <c r="B260" s="7">
        <v>142230000</v>
      </c>
      <c r="C260" s="7">
        <v>109650000</v>
      </c>
      <c r="D260" s="7">
        <v>182967000</v>
      </c>
      <c r="E260" s="7">
        <v>63028000</v>
      </c>
      <c r="F260" s="7">
        <v>-165877000</v>
      </c>
      <c r="G260" s="7">
        <v>186319000</v>
      </c>
      <c r="H260" s="7">
        <v>-382611000</v>
      </c>
      <c r="I260" s="7">
        <v>40135000</v>
      </c>
      <c r="J260" s="7">
        <v>1039535000</v>
      </c>
      <c r="K260" s="7">
        <v>-37316000</v>
      </c>
    </row>
    <row r="261" spans="1:11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25">
      <c r="A262" s="3" t="s">
        <v>1</v>
      </c>
      <c r="B262" s="5" t="s">
        <v>2</v>
      </c>
      <c r="C262" s="5" t="s">
        <v>2</v>
      </c>
      <c r="D262" s="5" t="s">
        <v>2</v>
      </c>
      <c r="E262" s="5" t="s">
        <v>2</v>
      </c>
      <c r="F262" s="5" t="s">
        <v>2</v>
      </c>
      <c r="G262" s="5" t="s">
        <v>2</v>
      </c>
      <c r="H262" s="5" t="s">
        <v>2</v>
      </c>
      <c r="I262" s="5" t="s">
        <v>2</v>
      </c>
      <c r="J262" s="5" t="s">
        <v>2</v>
      </c>
      <c r="K262" s="5" t="s">
        <v>2</v>
      </c>
    </row>
    <row r="263" spans="1:11" x14ac:dyDescent="0.25">
      <c r="A263" s="3" t="s">
        <v>3</v>
      </c>
      <c r="B263" s="5" t="s">
        <v>4</v>
      </c>
      <c r="C263" s="5" t="s">
        <v>4</v>
      </c>
      <c r="D263" s="5" t="s">
        <v>4</v>
      </c>
      <c r="E263" s="5" t="s">
        <v>4</v>
      </c>
      <c r="F263" s="5" t="s">
        <v>4</v>
      </c>
      <c r="G263" s="5" t="s">
        <v>4</v>
      </c>
      <c r="H263" s="5" t="s">
        <v>4</v>
      </c>
      <c r="I263" s="5" t="s">
        <v>4</v>
      </c>
      <c r="J263" s="5" t="s">
        <v>4</v>
      </c>
      <c r="K263" s="5" t="s">
        <v>4</v>
      </c>
    </row>
    <row r="264" spans="1:11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25">
      <c r="A265" s="3" t="s">
        <v>7</v>
      </c>
      <c r="B265" s="5" t="s">
        <v>2</v>
      </c>
      <c r="C265" s="5" t="s">
        <v>2</v>
      </c>
      <c r="D265" s="5" t="s">
        <v>2</v>
      </c>
      <c r="E265" s="5" t="s">
        <v>2</v>
      </c>
      <c r="F265" s="5" t="s">
        <v>2</v>
      </c>
      <c r="G265" s="5" t="s">
        <v>2</v>
      </c>
      <c r="H265" s="5" t="s">
        <v>2</v>
      </c>
      <c r="I265" s="5" t="s">
        <v>2</v>
      </c>
      <c r="J265" s="5" t="s">
        <v>2</v>
      </c>
      <c r="K265" s="5" t="s">
        <v>2</v>
      </c>
    </row>
    <row r="266" spans="1:11" x14ac:dyDescent="0.25">
      <c r="A266" s="3" t="s">
        <v>8</v>
      </c>
      <c r="B266" s="7">
        <v>5622655000</v>
      </c>
      <c r="C266" s="7">
        <v>5738041000</v>
      </c>
      <c r="D266" s="7">
        <v>5749224000</v>
      </c>
      <c r="E266" s="7">
        <v>6952245000</v>
      </c>
      <c r="F266" s="7">
        <v>7050217000</v>
      </c>
      <c r="G266" s="7">
        <v>7892553000</v>
      </c>
      <c r="H266" s="7">
        <v>8905486000</v>
      </c>
      <c r="I266" s="7">
        <v>9236750000</v>
      </c>
      <c r="J266" s="7">
        <v>11892587000</v>
      </c>
      <c r="K266" s="7">
        <v>13203278000</v>
      </c>
    </row>
    <row r="267" spans="1:11" x14ac:dyDescent="0.25">
      <c r="A267" s="6" t="s">
        <v>9</v>
      </c>
      <c r="B267" s="9">
        <v>2154465000</v>
      </c>
      <c r="C267" s="9">
        <v>2128986000</v>
      </c>
      <c r="D267" s="9">
        <v>2204325000</v>
      </c>
      <c r="E267" s="9">
        <v>2471978000</v>
      </c>
      <c r="F267" s="9">
        <v>2433892000</v>
      </c>
      <c r="G267" s="9">
        <v>3119217000</v>
      </c>
      <c r="H267" s="9">
        <v>3562287000</v>
      </c>
      <c r="I267" s="9">
        <v>3616236000</v>
      </c>
      <c r="J267" s="9">
        <v>4372292000</v>
      </c>
      <c r="K267" s="9">
        <v>6208374000</v>
      </c>
    </row>
    <row r="268" spans="1:11" x14ac:dyDescent="0.25">
      <c r="A268" s="8" t="s">
        <v>241</v>
      </c>
      <c r="B268" s="15" t="s">
        <v>14</v>
      </c>
      <c r="C268" s="15" t="s">
        <v>14</v>
      </c>
      <c r="D268" s="15" t="s">
        <v>14</v>
      </c>
      <c r="E268" s="15" t="s">
        <v>14</v>
      </c>
      <c r="F268" s="15" t="s">
        <v>14</v>
      </c>
      <c r="G268" s="15" t="s">
        <v>14</v>
      </c>
      <c r="H268" s="15" t="s">
        <v>14</v>
      </c>
      <c r="I268" s="15" t="s">
        <v>14</v>
      </c>
      <c r="J268" s="15" t="s">
        <v>14</v>
      </c>
      <c r="K268" s="15" t="s">
        <v>14</v>
      </c>
    </row>
    <row r="269" spans="1:11" x14ac:dyDescent="0.25">
      <c r="A269" s="8" t="s">
        <v>242</v>
      </c>
      <c r="B269" s="15" t="s">
        <v>14</v>
      </c>
      <c r="C269" s="15" t="s">
        <v>14</v>
      </c>
      <c r="D269" s="15" t="s">
        <v>14</v>
      </c>
      <c r="E269" s="15" t="s">
        <v>14</v>
      </c>
      <c r="F269" s="15" t="s">
        <v>14</v>
      </c>
      <c r="G269" s="15" t="s">
        <v>14</v>
      </c>
      <c r="H269" s="15" t="s">
        <v>14</v>
      </c>
      <c r="I269" s="15" t="s">
        <v>14</v>
      </c>
      <c r="J269" s="15" t="s">
        <v>14</v>
      </c>
      <c r="K269" s="15" t="s">
        <v>14</v>
      </c>
    </row>
    <row r="270" spans="1:11" x14ac:dyDescent="0.25">
      <c r="A270" s="10" t="s">
        <v>21</v>
      </c>
      <c r="B270" s="9">
        <v>872586000</v>
      </c>
      <c r="C270" s="9">
        <v>903483000</v>
      </c>
      <c r="D270" s="9">
        <v>796724000</v>
      </c>
      <c r="E270" s="9">
        <v>896538000</v>
      </c>
      <c r="F270" s="9">
        <v>884992000</v>
      </c>
      <c r="G270" s="9">
        <v>1118783000</v>
      </c>
      <c r="H270" s="9">
        <v>1470644000</v>
      </c>
      <c r="I270" s="9">
        <v>1479216000</v>
      </c>
      <c r="J270" s="9">
        <v>966336000</v>
      </c>
      <c r="K270" s="9">
        <v>1749006000</v>
      </c>
    </row>
    <row r="271" spans="1:11" x14ac:dyDescent="0.25">
      <c r="A271" s="10" t="s">
        <v>243</v>
      </c>
      <c r="B271" s="14" t="s">
        <v>14</v>
      </c>
      <c r="C271" s="14" t="s">
        <v>14</v>
      </c>
      <c r="D271" s="14" t="s">
        <v>14</v>
      </c>
      <c r="E271" s="14" t="s">
        <v>14</v>
      </c>
      <c r="F271" s="14" t="s">
        <v>14</v>
      </c>
      <c r="G271" s="14" t="s">
        <v>14</v>
      </c>
      <c r="H271" s="14" t="s">
        <v>14</v>
      </c>
      <c r="I271" s="14" t="s">
        <v>14</v>
      </c>
      <c r="J271" s="14" t="s">
        <v>14</v>
      </c>
      <c r="K271" s="14" t="s">
        <v>14</v>
      </c>
    </row>
    <row r="272" spans="1:11" x14ac:dyDescent="0.25">
      <c r="A272" s="12" t="s">
        <v>244</v>
      </c>
      <c r="B272" s="5" t="s">
        <v>14</v>
      </c>
      <c r="C272" s="5" t="s">
        <v>14</v>
      </c>
      <c r="D272" s="5" t="s">
        <v>14</v>
      </c>
      <c r="E272" s="5" t="s">
        <v>14</v>
      </c>
      <c r="F272" s="5" t="s">
        <v>14</v>
      </c>
      <c r="G272" s="5" t="s">
        <v>14</v>
      </c>
      <c r="H272" s="5" t="s">
        <v>14</v>
      </c>
      <c r="I272" s="5" t="s">
        <v>14</v>
      </c>
      <c r="J272" s="5" t="s">
        <v>14</v>
      </c>
      <c r="K272" s="5" t="s">
        <v>14</v>
      </c>
    </row>
    <row r="273" spans="1:11" x14ac:dyDescent="0.25">
      <c r="A273" s="12" t="s">
        <v>245</v>
      </c>
      <c r="B273" s="5" t="s">
        <v>14</v>
      </c>
      <c r="C273" s="5" t="s">
        <v>14</v>
      </c>
      <c r="D273" s="5" t="s">
        <v>14</v>
      </c>
      <c r="E273" s="5" t="s">
        <v>14</v>
      </c>
      <c r="F273" s="5" t="s">
        <v>14</v>
      </c>
      <c r="G273" s="5" t="s">
        <v>14</v>
      </c>
      <c r="H273" s="5" t="s">
        <v>14</v>
      </c>
      <c r="I273" s="5" t="s">
        <v>14</v>
      </c>
      <c r="J273" s="5" t="s">
        <v>14</v>
      </c>
      <c r="K273" s="5" t="s">
        <v>14</v>
      </c>
    </row>
    <row r="274" spans="1:11" x14ac:dyDescent="0.25">
      <c r="A274" s="8" t="s">
        <v>23</v>
      </c>
      <c r="B274" s="11">
        <v>736127000</v>
      </c>
      <c r="C274" s="11">
        <v>628443000</v>
      </c>
      <c r="D274" s="11">
        <v>646031000</v>
      </c>
      <c r="E274" s="11">
        <v>753593000</v>
      </c>
      <c r="F274" s="11">
        <v>825903000</v>
      </c>
      <c r="G274" s="11">
        <v>1056564000</v>
      </c>
      <c r="H274" s="11">
        <v>1441329000</v>
      </c>
      <c r="I274" s="11">
        <v>1399921000</v>
      </c>
      <c r="J274" s="11">
        <v>1659113000</v>
      </c>
      <c r="K274" s="11">
        <v>2474865000</v>
      </c>
    </row>
    <row r="275" spans="1:11" x14ac:dyDescent="0.25">
      <c r="A275" s="8" t="s">
        <v>246</v>
      </c>
      <c r="B275" s="15" t="s">
        <v>14</v>
      </c>
      <c r="C275" s="15" t="s">
        <v>14</v>
      </c>
      <c r="D275" s="15" t="s">
        <v>14</v>
      </c>
      <c r="E275" s="15" t="s">
        <v>14</v>
      </c>
      <c r="F275" s="15" t="s">
        <v>14</v>
      </c>
      <c r="G275" s="15" t="s">
        <v>14</v>
      </c>
      <c r="H275" s="15" t="s">
        <v>14</v>
      </c>
      <c r="I275" s="15" t="s">
        <v>14</v>
      </c>
      <c r="J275" s="15" t="s">
        <v>14</v>
      </c>
      <c r="K275" s="15" t="s">
        <v>14</v>
      </c>
    </row>
    <row r="276" spans="1:11" x14ac:dyDescent="0.25">
      <c r="A276" s="6" t="s">
        <v>32</v>
      </c>
      <c r="B276" s="9">
        <v>3468190000</v>
      </c>
      <c r="C276" s="9">
        <v>3609055000</v>
      </c>
      <c r="D276" s="9">
        <v>3544899000</v>
      </c>
      <c r="E276" s="9">
        <v>4480267000</v>
      </c>
      <c r="F276" s="9">
        <v>4616325000</v>
      </c>
      <c r="G276" s="9">
        <v>4773336000</v>
      </c>
      <c r="H276" s="9">
        <v>5343199000</v>
      </c>
      <c r="I276" s="9">
        <v>5620514000</v>
      </c>
      <c r="J276" s="9">
        <v>7520295000</v>
      </c>
      <c r="K276" s="9">
        <v>6994904000</v>
      </c>
    </row>
    <row r="277" spans="1:11" x14ac:dyDescent="0.25">
      <c r="A277" s="8" t="s">
        <v>33</v>
      </c>
      <c r="B277" s="11">
        <v>125771000</v>
      </c>
      <c r="C277" s="11">
        <v>99304000</v>
      </c>
      <c r="D277" s="11">
        <v>62329000</v>
      </c>
      <c r="E277" s="11">
        <v>129901000</v>
      </c>
      <c r="F277" s="11">
        <v>220264000</v>
      </c>
      <c r="G277" s="11">
        <v>331402000</v>
      </c>
      <c r="H277" s="11">
        <v>357370000</v>
      </c>
      <c r="I277" s="11">
        <v>454774000</v>
      </c>
      <c r="J277" s="11">
        <v>656068000</v>
      </c>
      <c r="K277" s="11">
        <v>765840000</v>
      </c>
    </row>
    <row r="278" spans="1:11" x14ac:dyDescent="0.25">
      <c r="A278" s="10" t="s">
        <v>247</v>
      </c>
      <c r="B278" s="14" t="s">
        <v>14</v>
      </c>
      <c r="C278" s="14" t="s">
        <v>14</v>
      </c>
      <c r="D278" s="14" t="s">
        <v>14</v>
      </c>
      <c r="E278" s="14" t="s">
        <v>14</v>
      </c>
      <c r="F278" s="14" t="s">
        <v>14</v>
      </c>
      <c r="G278" s="14" t="s">
        <v>14</v>
      </c>
      <c r="H278" s="14" t="s">
        <v>14</v>
      </c>
      <c r="I278" s="14" t="s">
        <v>14</v>
      </c>
      <c r="J278" s="14" t="s">
        <v>14</v>
      </c>
      <c r="K278" s="14" t="s">
        <v>14</v>
      </c>
    </row>
    <row r="279" spans="1:11" x14ac:dyDescent="0.25">
      <c r="A279" s="10" t="s">
        <v>248</v>
      </c>
      <c r="B279" s="14" t="s">
        <v>14</v>
      </c>
      <c r="C279" s="14" t="s">
        <v>14</v>
      </c>
      <c r="D279" s="14" t="s">
        <v>14</v>
      </c>
      <c r="E279" s="14" t="s">
        <v>14</v>
      </c>
      <c r="F279" s="14" t="s">
        <v>14</v>
      </c>
      <c r="G279" s="14" t="s">
        <v>14</v>
      </c>
      <c r="H279" s="14" t="s">
        <v>14</v>
      </c>
      <c r="I279" s="14" t="s">
        <v>14</v>
      </c>
      <c r="J279" s="14" t="s">
        <v>14</v>
      </c>
      <c r="K279" s="14" t="s">
        <v>14</v>
      </c>
    </row>
    <row r="280" spans="1:11" x14ac:dyDescent="0.25">
      <c r="A280" s="12" t="s">
        <v>48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32571000</v>
      </c>
      <c r="J280" s="7">
        <v>0</v>
      </c>
      <c r="K280" s="7">
        <v>0</v>
      </c>
    </row>
    <row r="281" spans="1:11" x14ac:dyDescent="0.25">
      <c r="A281" s="12" t="s">
        <v>49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</row>
    <row r="282" spans="1:11" x14ac:dyDescent="0.25">
      <c r="A282" s="12" t="s">
        <v>249</v>
      </c>
      <c r="B282" s="5" t="s">
        <v>14</v>
      </c>
      <c r="C282" s="5" t="s">
        <v>14</v>
      </c>
      <c r="D282" s="5" t="s">
        <v>14</v>
      </c>
      <c r="E282" s="5" t="s">
        <v>14</v>
      </c>
      <c r="F282" s="5" t="s">
        <v>14</v>
      </c>
      <c r="G282" s="5" t="s">
        <v>14</v>
      </c>
      <c r="H282" s="5" t="s">
        <v>14</v>
      </c>
      <c r="I282" s="5" t="s">
        <v>14</v>
      </c>
      <c r="J282" s="5" t="s">
        <v>14</v>
      </c>
      <c r="K282" s="5" t="s">
        <v>14</v>
      </c>
    </row>
    <row r="283" spans="1:11" x14ac:dyDescent="0.25">
      <c r="A283" s="10" t="s">
        <v>250</v>
      </c>
      <c r="B283" s="14" t="s">
        <v>14</v>
      </c>
      <c r="C283" s="14" t="s">
        <v>14</v>
      </c>
      <c r="D283" s="14" t="s">
        <v>14</v>
      </c>
      <c r="E283" s="14" t="s">
        <v>14</v>
      </c>
      <c r="F283" s="14" t="s">
        <v>14</v>
      </c>
      <c r="G283" s="14" t="s">
        <v>14</v>
      </c>
      <c r="H283" s="14" t="s">
        <v>14</v>
      </c>
      <c r="I283" s="14" t="s">
        <v>14</v>
      </c>
      <c r="J283" s="14" t="s">
        <v>14</v>
      </c>
      <c r="K283" s="14" t="s">
        <v>14</v>
      </c>
    </row>
    <row r="284" spans="1:11" x14ac:dyDescent="0.25">
      <c r="A284" s="8" t="s">
        <v>251</v>
      </c>
      <c r="B284" s="15" t="s">
        <v>14</v>
      </c>
      <c r="C284" s="15" t="s">
        <v>14</v>
      </c>
      <c r="D284" s="15" t="s">
        <v>14</v>
      </c>
      <c r="E284" s="15" t="s">
        <v>14</v>
      </c>
      <c r="F284" s="15" t="s">
        <v>14</v>
      </c>
      <c r="G284" s="15" t="s">
        <v>14</v>
      </c>
      <c r="H284" s="15" t="s">
        <v>14</v>
      </c>
      <c r="I284" s="15" t="s">
        <v>14</v>
      </c>
      <c r="J284" s="15" t="s">
        <v>14</v>
      </c>
      <c r="K284" s="15" t="s">
        <v>14</v>
      </c>
    </row>
    <row r="285" spans="1:11" x14ac:dyDescent="0.25">
      <c r="A285" s="10" t="s">
        <v>56</v>
      </c>
      <c r="B285" s="9">
        <v>104000</v>
      </c>
      <c r="C285" s="9">
        <v>42318000</v>
      </c>
      <c r="D285" s="9">
        <v>13245000</v>
      </c>
      <c r="E285" s="9">
        <v>78816000</v>
      </c>
      <c r="F285" s="9">
        <v>98945000</v>
      </c>
      <c r="G285" s="9">
        <v>62593000</v>
      </c>
      <c r="H285" s="9">
        <v>43090000</v>
      </c>
      <c r="I285" s="9">
        <v>37768000</v>
      </c>
      <c r="J285" s="9">
        <v>93706000</v>
      </c>
      <c r="K285" s="9">
        <v>101125000</v>
      </c>
    </row>
    <row r="286" spans="1:11" x14ac:dyDescent="0.25">
      <c r="A286" s="12" t="s">
        <v>252</v>
      </c>
      <c r="B286" s="5" t="s">
        <v>14</v>
      </c>
      <c r="C286" s="5" t="s">
        <v>14</v>
      </c>
      <c r="D286" s="5" t="s">
        <v>14</v>
      </c>
      <c r="E286" s="5" t="s">
        <v>14</v>
      </c>
      <c r="F286" s="5" t="s">
        <v>14</v>
      </c>
      <c r="G286" s="5" t="s">
        <v>14</v>
      </c>
      <c r="H286" s="5" t="s">
        <v>14</v>
      </c>
      <c r="I286" s="5" t="s">
        <v>14</v>
      </c>
      <c r="J286" s="5" t="s">
        <v>14</v>
      </c>
      <c r="K286" s="5" t="s">
        <v>14</v>
      </c>
    </row>
    <row r="287" spans="1:11" x14ac:dyDescent="0.25">
      <c r="A287" s="12" t="s">
        <v>253</v>
      </c>
      <c r="B287" s="5" t="s">
        <v>14</v>
      </c>
      <c r="C287" s="5" t="s">
        <v>14</v>
      </c>
      <c r="D287" s="5" t="s">
        <v>14</v>
      </c>
      <c r="E287" s="5" t="s">
        <v>14</v>
      </c>
      <c r="F287" s="5" t="s">
        <v>14</v>
      </c>
      <c r="G287" s="5" t="s">
        <v>14</v>
      </c>
      <c r="H287" s="5" t="s">
        <v>14</v>
      </c>
      <c r="I287" s="5" t="s">
        <v>14</v>
      </c>
      <c r="J287" s="5" t="s">
        <v>14</v>
      </c>
      <c r="K287" s="5" t="s">
        <v>14</v>
      </c>
    </row>
    <row r="288" spans="1:11" x14ac:dyDescent="0.25">
      <c r="A288" s="12" t="s">
        <v>254</v>
      </c>
      <c r="B288" s="5" t="s">
        <v>14</v>
      </c>
      <c r="C288" s="5" t="s">
        <v>14</v>
      </c>
      <c r="D288" s="5" t="s">
        <v>14</v>
      </c>
      <c r="E288" s="5" t="s">
        <v>14</v>
      </c>
      <c r="F288" s="5" t="s">
        <v>14</v>
      </c>
      <c r="G288" s="5" t="s">
        <v>14</v>
      </c>
      <c r="H288" s="5" t="s">
        <v>14</v>
      </c>
      <c r="I288" s="5" t="s">
        <v>14</v>
      </c>
      <c r="J288" s="5" t="s">
        <v>14</v>
      </c>
      <c r="K288" s="5" t="s">
        <v>14</v>
      </c>
    </row>
    <row r="289" spans="1:11" x14ac:dyDescent="0.25">
      <c r="A289" s="12" t="s">
        <v>255</v>
      </c>
      <c r="B289" s="5" t="s">
        <v>14</v>
      </c>
      <c r="C289" s="5" t="s">
        <v>14</v>
      </c>
      <c r="D289" s="5" t="s">
        <v>14</v>
      </c>
      <c r="E289" s="5" t="s">
        <v>14</v>
      </c>
      <c r="F289" s="5" t="s">
        <v>14</v>
      </c>
      <c r="G289" s="5" t="s">
        <v>14</v>
      </c>
      <c r="H289" s="5" t="s">
        <v>14</v>
      </c>
      <c r="I289" s="5" t="s">
        <v>14</v>
      </c>
      <c r="J289" s="5" t="s">
        <v>14</v>
      </c>
      <c r="K289" s="5" t="s">
        <v>14</v>
      </c>
    </row>
    <row r="290" spans="1:11" x14ac:dyDescent="0.25">
      <c r="A290" s="12" t="s">
        <v>256</v>
      </c>
      <c r="B290" s="5" t="s">
        <v>14</v>
      </c>
      <c r="C290" s="5" t="s">
        <v>14</v>
      </c>
      <c r="D290" s="5" t="s">
        <v>14</v>
      </c>
      <c r="E290" s="5" t="s">
        <v>14</v>
      </c>
      <c r="F290" s="5" t="s">
        <v>14</v>
      </c>
      <c r="G290" s="5" t="s">
        <v>14</v>
      </c>
      <c r="H290" s="5" t="s">
        <v>14</v>
      </c>
      <c r="I290" s="5" t="s">
        <v>14</v>
      </c>
      <c r="J290" s="5" t="s">
        <v>14</v>
      </c>
      <c r="K290" s="5" t="s">
        <v>14</v>
      </c>
    </row>
    <row r="291" spans="1:11" x14ac:dyDescent="0.25">
      <c r="A291" s="12" t="s">
        <v>17</v>
      </c>
      <c r="B291" s="5" t="s">
        <v>14</v>
      </c>
      <c r="C291" s="5" t="s">
        <v>14</v>
      </c>
      <c r="D291" s="5" t="s">
        <v>14</v>
      </c>
      <c r="E291" s="5" t="s">
        <v>14</v>
      </c>
      <c r="F291" s="5" t="s">
        <v>14</v>
      </c>
      <c r="G291" s="5" t="s">
        <v>14</v>
      </c>
      <c r="H291" s="5" t="s">
        <v>14</v>
      </c>
      <c r="I291" s="5" t="s">
        <v>14</v>
      </c>
      <c r="J291" s="5" t="s">
        <v>14</v>
      </c>
      <c r="K291" s="5" t="s">
        <v>14</v>
      </c>
    </row>
    <row r="292" spans="1:11" x14ac:dyDescent="0.25">
      <c r="A292" s="10" t="s">
        <v>62</v>
      </c>
      <c r="B292" s="9">
        <v>2450902000</v>
      </c>
      <c r="C292" s="9">
        <v>2493754000</v>
      </c>
      <c r="D292" s="9">
        <v>2506966000</v>
      </c>
      <c r="E292" s="9">
        <v>2933474000</v>
      </c>
      <c r="F292" s="9">
        <v>2910615000</v>
      </c>
      <c r="G292" s="9">
        <v>2960084000</v>
      </c>
      <c r="H292" s="9">
        <v>3289869000</v>
      </c>
      <c r="I292" s="9">
        <v>3476151000</v>
      </c>
      <c r="J292" s="9">
        <v>4436400000</v>
      </c>
      <c r="K292" s="9">
        <v>3990803000</v>
      </c>
    </row>
    <row r="293" spans="1:11" x14ac:dyDescent="0.25">
      <c r="A293" s="10" t="s">
        <v>257</v>
      </c>
      <c r="B293" s="14" t="s">
        <v>14</v>
      </c>
      <c r="C293" s="14" t="s">
        <v>14</v>
      </c>
      <c r="D293" s="14" t="s">
        <v>14</v>
      </c>
      <c r="E293" s="14" t="s">
        <v>14</v>
      </c>
      <c r="F293" s="14" t="s">
        <v>14</v>
      </c>
      <c r="G293" s="14" t="s">
        <v>14</v>
      </c>
      <c r="H293" s="14" t="s">
        <v>14</v>
      </c>
      <c r="I293" s="14" t="s">
        <v>14</v>
      </c>
      <c r="J293" s="14" t="s">
        <v>14</v>
      </c>
      <c r="K293" s="14" t="s">
        <v>14</v>
      </c>
    </row>
    <row r="294" spans="1:11" x14ac:dyDescent="0.25">
      <c r="A294" s="10" t="s">
        <v>258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14" t="s">
        <v>14</v>
      </c>
      <c r="I294" s="14" t="s">
        <v>14</v>
      </c>
      <c r="J294" s="14" t="s">
        <v>14</v>
      </c>
      <c r="K294" s="14" t="s">
        <v>14</v>
      </c>
    </row>
    <row r="295" spans="1:11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x14ac:dyDescent="0.25">
      <c r="A296" s="3" t="s">
        <v>70</v>
      </c>
      <c r="B296" s="5" t="s">
        <v>2</v>
      </c>
      <c r="C296" s="5" t="s">
        <v>2</v>
      </c>
      <c r="D296" s="5" t="s">
        <v>2</v>
      </c>
      <c r="E296" s="5" t="s">
        <v>2</v>
      </c>
      <c r="F296" s="5" t="s">
        <v>2</v>
      </c>
      <c r="G296" s="5" t="s">
        <v>2</v>
      </c>
      <c r="H296" s="5" t="s">
        <v>2</v>
      </c>
      <c r="I296" s="5" t="s">
        <v>2</v>
      </c>
      <c r="J296" s="5" t="s">
        <v>2</v>
      </c>
      <c r="K296" s="5" t="s">
        <v>2</v>
      </c>
    </row>
    <row r="297" spans="1:11" x14ac:dyDescent="0.25">
      <c r="A297" s="3" t="s">
        <v>71</v>
      </c>
      <c r="B297" s="7">
        <v>5622655000</v>
      </c>
      <c r="C297" s="7">
        <v>5738041000</v>
      </c>
      <c r="D297" s="7">
        <v>5749224000</v>
      </c>
      <c r="E297" s="7">
        <v>6952245000</v>
      </c>
      <c r="F297" s="7">
        <v>7050217000</v>
      </c>
      <c r="G297" s="7">
        <v>7892553000</v>
      </c>
      <c r="H297" s="7">
        <v>8905486000</v>
      </c>
      <c r="I297" s="7">
        <v>9236750000</v>
      </c>
      <c r="J297" s="7">
        <v>11892587000</v>
      </c>
      <c r="K297" s="7">
        <v>13203278000</v>
      </c>
    </row>
    <row r="298" spans="1:11" x14ac:dyDescent="0.25">
      <c r="A298" s="6" t="s">
        <v>72</v>
      </c>
      <c r="B298" s="9">
        <v>2060562000</v>
      </c>
      <c r="C298" s="9">
        <v>1649111000</v>
      </c>
      <c r="D298" s="9">
        <v>1968515000</v>
      </c>
      <c r="E298" s="9">
        <v>2804035000</v>
      </c>
      <c r="F298" s="9">
        <v>2543452000</v>
      </c>
      <c r="G298" s="9">
        <v>2889021000</v>
      </c>
      <c r="H298" s="9">
        <v>3205581000</v>
      </c>
      <c r="I298" s="9">
        <v>2853138000</v>
      </c>
      <c r="J298" s="9">
        <v>3602714000</v>
      </c>
      <c r="K298" s="9">
        <v>4781777000</v>
      </c>
    </row>
    <row r="299" spans="1:11" x14ac:dyDescent="0.25">
      <c r="A299" s="8" t="s">
        <v>85</v>
      </c>
      <c r="B299" s="11">
        <v>967110000</v>
      </c>
      <c r="C299" s="11">
        <v>498586000</v>
      </c>
      <c r="D299" s="11">
        <v>764328000</v>
      </c>
      <c r="E299" s="11">
        <v>1348858000</v>
      </c>
      <c r="F299" s="11">
        <v>1153315000</v>
      </c>
      <c r="G299" s="11">
        <v>1073471000</v>
      </c>
      <c r="H299" s="11">
        <v>837744000</v>
      </c>
      <c r="I299" s="11">
        <v>726463000</v>
      </c>
      <c r="J299" s="11">
        <v>1827512000</v>
      </c>
      <c r="K299" s="11">
        <v>1575395000</v>
      </c>
    </row>
    <row r="300" spans="1:11" x14ac:dyDescent="0.25">
      <c r="A300" s="8" t="s">
        <v>88</v>
      </c>
      <c r="B300" s="11">
        <v>0</v>
      </c>
      <c r="C300" s="11">
        <v>27588000</v>
      </c>
      <c r="D300" s="11">
        <v>32903000</v>
      </c>
      <c r="E300" s="11">
        <v>128794000</v>
      </c>
      <c r="F300" s="11">
        <v>16751000</v>
      </c>
      <c r="G300" s="11">
        <v>162003000</v>
      </c>
      <c r="H300" s="11">
        <v>163617000</v>
      </c>
      <c r="I300" s="11">
        <v>17474000</v>
      </c>
      <c r="J300" s="11">
        <v>765000</v>
      </c>
      <c r="K300" s="11">
        <v>223385000</v>
      </c>
    </row>
    <row r="301" spans="1:11" x14ac:dyDescent="0.25">
      <c r="A301" s="8" t="s">
        <v>76</v>
      </c>
      <c r="B301" s="11">
        <v>668873000</v>
      </c>
      <c r="C301" s="11">
        <v>705718000</v>
      </c>
      <c r="D301" s="11">
        <v>749013000</v>
      </c>
      <c r="E301" s="11">
        <v>914167000</v>
      </c>
      <c r="F301" s="11">
        <v>806110000</v>
      </c>
      <c r="G301" s="11">
        <v>978150000</v>
      </c>
      <c r="H301" s="11">
        <v>1365829000</v>
      </c>
      <c r="I301" s="11">
        <v>1246438000</v>
      </c>
      <c r="J301" s="11">
        <v>919013000</v>
      </c>
      <c r="K301" s="11">
        <v>1700511000</v>
      </c>
    </row>
    <row r="302" spans="1:11" x14ac:dyDescent="0.25">
      <c r="A302" s="8" t="s">
        <v>259</v>
      </c>
      <c r="B302" s="15" t="s">
        <v>14</v>
      </c>
      <c r="C302" s="15" t="s">
        <v>14</v>
      </c>
      <c r="D302" s="15" t="s">
        <v>14</v>
      </c>
      <c r="E302" s="15" t="s">
        <v>14</v>
      </c>
      <c r="F302" s="15" t="s">
        <v>14</v>
      </c>
      <c r="G302" s="15" t="s">
        <v>14</v>
      </c>
      <c r="H302" s="15" t="s">
        <v>14</v>
      </c>
      <c r="I302" s="15" t="s">
        <v>14</v>
      </c>
      <c r="J302" s="15" t="s">
        <v>14</v>
      </c>
      <c r="K302" s="15" t="s">
        <v>14</v>
      </c>
    </row>
    <row r="303" spans="1:11" x14ac:dyDescent="0.25">
      <c r="A303" s="8" t="s">
        <v>97</v>
      </c>
      <c r="B303" s="11">
        <v>11074000</v>
      </c>
      <c r="C303" s="11">
        <v>0</v>
      </c>
      <c r="D303" s="11">
        <v>51910000</v>
      </c>
      <c r="E303" s="11">
        <v>66023000</v>
      </c>
      <c r="F303" s="11">
        <v>78216000</v>
      </c>
      <c r="G303" s="11">
        <v>70498000</v>
      </c>
      <c r="H303" s="11">
        <v>53138000</v>
      </c>
      <c r="I303" s="11">
        <v>56117000</v>
      </c>
      <c r="J303" s="11">
        <v>86596000</v>
      </c>
      <c r="K303" s="11">
        <v>55756000</v>
      </c>
    </row>
    <row r="304" spans="1:11" x14ac:dyDescent="0.25">
      <c r="A304" s="8" t="s">
        <v>100</v>
      </c>
      <c r="B304" s="11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</row>
    <row r="305" spans="1:11" x14ac:dyDescent="0.25">
      <c r="A305" s="8" t="s">
        <v>260</v>
      </c>
      <c r="B305" s="15" t="s">
        <v>14</v>
      </c>
      <c r="C305" s="15" t="s">
        <v>14</v>
      </c>
      <c r="D305" s="15" t="s">
        <v>14</v>
      </c>
      <c r="E305" s="15" t="s">
        <v>14</v>
      </c>
      <c r="F305" s="15" t="s">
        <v>14</v>
      </c>
      <c r="G305" s="15" t="s">
        <v>14</v>
      </c>
      <c r="H305" s="15" t="s">
        <v>14</v>
      </c>
      <c r="I305" s="15" t="s">
        <v>14</v>
      </c>
      <c r="J305" s="15" t="s">
        <v>14</v>
      </c>
      <c r="K305" s="15" t="s">
        <v>14</v>
      </c>
    </row>
    <row r="306" spans="1:11" x14ac:dyDescent="0.25">
      <c r="A306" s="8" t="s">
        <v>261</v>
      </c>
      <c r="B306" s="15" t="s">
        <v>14</v>
      </c>
      <c r="C306" s="15" t="s">
        <v>14</v>
      </c>
      <c r="D306" s="15" t="s">
        <v>14</v>
      </c>
      <c r="E306" s="15" t="s">
        <v>14</v>
      </c>
      <c r="F306" s="15" t="s">
        <v>14</v>
      </c>
      <c r="G306" s="15" t="s">
        <v>14</v>
      </c>
      <c r="H306" s="15" t="s">
        <v>14</v>
      </c>
      <c r="I306" s="15" t="s">
        <v>14</v>
      </c>
      <c r="J306" s="15" t="s">
        <v>14</v>
      </c>
      <c r="K306" s="15" t="s">
        <v>14</v>
      </c>
    </row>
    <row r="307" spans="1:11" x14ac:dyDescent="0.25">
      <c r="A307" s="6" t="s">
        <v>113</v>
      </c>
      <c r="B307" s="9">
        <v>2534150000</v>
      </c>
      <c r="C307" s="9">
        <v>2812809000</v>
      </c>
      <c r="D307" s="9">
        <v>2448705000</v>
      </c>
      <c r="E307" s="9">
        <v>2241116000</v>
      </c>
      <c r="F307" s="9">
        <v>2505283000</v>
      </c>
      <c r="G307" s="9">
        <v>2411440000</v>
      </c>
      <c r="H307" s="9">
        <v>2661630000</v>
      </c>
      <c r="I307" s="9">
        <v>3053548000</v>
      </c>
      <c r="J307" s="9">
        <v>4245199000</v>
      </c>
      <c r="K307" s="9">
        <v>4528308000</v>
      </c>
    </row>
    <row r="308" spans="1:11" x14ac:dyDescent="0.25">
      <c r="A308" s="8" t="s">
        <v>262</v>
      </c>
      <c r="B308" s="15" t="s">
        <v>14</v>
      </c>
      <c r="C308" s="15" t="s">
        <v>14</v>
      </c>
      <c r="D308" s="15" t="s">
        <v>14</v>
      </c>
      <c r="E308" s="15" t="s">
        <v>14</v>
      </c>
      <c r="F308" s="15" t="s">
        <v>14</v>
      </c>
      <c r="G308" s="15" t="s">
        <v>14</v>
      </c>
      <c r="H308" s="15" t="s">
        <v>14</v>
      </c>
      <c r="I308" s="15" t="s">
        <v>14</v>
      </c>
      <c r="J308" s="15" t="s">
        <v>14</v>
      </c>
      <c r="K308" s="15" t="s">
        <v>14</v>
      </c>
    </row>
    <row r="309" spans="1:11" x14ac:dyDescent="0.25">
      <c r="A309" s="10" t="s">
        <v>115</v>
      </c>
      <c r="B309" s="9">
        <v>1927558000</v>
      </c>
      <c r="C309" s="9">
        <v>881210000</v>
      </c>
      <c r="D309" s="9">
        <v>745854000</v>
      </c>
      <c r="E309" s="9">
        <v>534276000</v>
      </c>
      <c r="F309" s="9">
        <v>1423090000</v>
      </c>
      <c r="G309" s="9">
        <v>1555088000</v>
      </c>
      <c r="H309" s="9">
        <v>1396560000</v>
      </c>
      <c r="I309" s="9">
        <v>1358854000</v>
      </c>
      <c r="J309" s="9">
        <v>1959363000</v>
      </c>
      <c r="K309" s="9">
        <v>2574417000</v>
      </c>
    </row>
    <row r="310" spans="1:11" x14ac:dyDescent="0.25">
      <c r="A310" s="10" t="s">
        <v>118</v>
      </c>
      <c r="B310" s="9">
        <v>0</v>
      </c>
      <c r="C310" s="9">
        <v>1215713000</v>
      </c>
      <c r="D310" s="9">
        <v>1170251000</v>
      </c>
      <c r="E310" s="9">
        <v>1087792000</v>
      </c>
      <c r="F310" s="9">
        <v>494222000</v>
      </c>
      <c r="G310" s="9">
        <v>152393000</v>
      </c>
      <c r="H310" s="9">
        <v>445097000</v>
      </c>
      <c r="I310" s="9">
        <v>890776000</v>
      </c>
      <c r="J310" s="9">
        <v>1241100000</v>
      </c>
      <c r="K310" s="9">
        <v>999947000</v>
      </c>
    </row>
    <row r="311" spans="1:11" x14ac:dyDescent="0.25">
      <c r="A311" s="10" t="s">
        <v>131</v>
      </c>
      <c r="B311" s="9">
        <v>57504000</v>
      </c>
      <c r="C311" s="9">
        <v>395005000</v>
      </c>
      <c r="D311" s="9">
        <v>333292000</v>
      </c>
      <c r="E311" s="9">
        <v>412424000</v>
      </c>
      <c r="F311" s="9">
        <v>417164000</v>
      </c>
      <c r="G311" s="9">
        <v>493815000</v>
      </c>
      <c r="H311" s="9">
        <v>571701000</v>
      </c>
      <c r="I311" s="9">
        <v>543948000</v>
      </c>
      <c r="J311" s="9">
        <v>762387000</v>
      </c>
      <c r="K311" s="9">
        <v>729460000</v>
      </c>
    </row>
    <row r="312" spans="1:11" x14ac:dyDescent="0.25">
      <c r="A312" s="10" t="s">
        <v>263</v>
      </c>
      <c r="B312" s="14" t="s">
        <v>14</v>
      </c>
      <c r="C312" s="14" t="s">
        <v>14</v>
      </c>
      <c r="D312" s="14" t="s">
        <v>14</v>
      </c>
      <c r="E312" s="14" t="s">
        <v>14</v>
      </c>
      <c r="F312" s="14" t="s">
        <v>14</v>
      </c>
      <c r="G312" s="14" t="s">
        <v>14</v>
      </c>
      <c r="H312" s="14" t="s">
        <v>14</v>
      </c>
      <c r="I312" s="14" t="s">
        <v>14</v>
      </c>
      <c r="J312" s="14" t="s">
        <v>14</v>
      </c>
      <c r="K312" s="14" t="s">
        <v>14</v>
      </c>
    </row>
    <row r="313" spans="1:11" x14ac:dyDescent="0.25">
      <c r="A313" s="10" t="s">
        <v>158</v>
      </c>
      <c r="B313" s="14" t="s">
        <v>14</v>
      </c>
      <c r="C313" s="14" t="s">
        <v>14</v>
      </c>
      <c r="D313" s="14" t="s">
        <v>14</v>
      </c>
      <c r="E313" s="14" t="s">
        <v>14</v>
      </c>
      <c r="F313" s="14" t="s">
        <v>14</v>
      </c>
      <c r="G313" s="14" t="s">
        <v>14</v>
      </c>
      <c r="H313" s="14" t="s">
        <v>14</v>
      </c>
      <c r="I313" s="14" t="s">
        <v>14</v>
      </c>
      <c r="J313" s="14" t="s">
        <v>14</v>
      </c>
      <c r="K313" s="14" t="s">
        <v>14</v>
      </c>
    </row>
    <row r="314" spans="1:11" x14ac:dyDescent="0.25">
      <c r="A314" s="10" t="s">
        <v>264</v>
      </c>
      <c r="B314" s="14" t="s">
        <v>14</v>
      </c>
      <c r="C314" s="14" t="s">
        <v>14</v>
      </c>
      <c r="D314" s="14" t="s">
        <v>14</v>
      </c>
      <c r="E314" s="14" t="s">
        <v>14</v>
      </c>
      <c r="F314" s="14" t="s">
        <v>14</v>
      </c>
      <c r="G314" s="14" t="s">
        <v>14</v>
      </c>
      <c r="H314" s="14" t="s">
        <v>14</v>
      </c>
      <c r="I314" s="14" t="s">
        <v>14</v>
      </c>
      <c r="J314" s="14" t="s">
        <v>14</v>
      </c>
      <c r="K314" s="14" t="s">
        <v>14</v>
      </c>
    </row>
    <row r="315" spans="1:11" x14ac:dyDescent="0.25">
      <c r="A315" s="6" t="s">
        <v>265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</row>
    <row r="316" spans="1:11" x14ac:dyDescent="0.25">
      <c r="A316" s="6" t="s">
        <v>149</v>
      </c>
      <c r="B316" s="9">
        <v>152449000</v>
      </c>
      <c r="C316" s="9">
        <v>188468000</v>
      </c>
      <c r="D316" s="9">
        <v>187056000</v>
      </c>
      <c r="E316" s="9">
        <v>211313000</v>
      </c>
      <c r="F316" s="9">
        <v>208640000</v>
      </c>
      <c r="G316" s="9">
        <v>216744000</v>
      </c>
      <c r="H316" s="9">
        <v>217404000</v>
      </c>
      <c r="I316" s="9">
        <v>215233000</v>
      </c>
      <c r="J316" s="9">
        <v>282271000</v>
      </c>
      <c r="K316" s="9">
        <v>293940000</v>
      </c>
    </row>
    <row r="317" spans="1:11" x14ac:dyDescent="0.25">
      <c r="A317" s="6" t="s">
        <v>150</v>
      </c>
      <c r="B317" s="9">
        <v>875494000</v>
      </c>
      <c r="C317" s="9">
        <v>1087653000</v>
      </c>
      <c r="D317" s="9">
        <v>1144948000</v>
      </c>
      <c r="E317" s="9">
        <v>1695781000</v>
      </c>
      <c r="F317" s="9">
        <v>1792842000</v>
      </c>
      <c r="G317" s="9">
        <v>2375348000</v>
      </c>
      <c r="H317" s="9">
        <v>2820871000</v>
      </c>
      <c r="I317" s="9">
        <v>3114831000</v>
      </c>
      <c r="J317" s="9">
        <v>3762403000</v>
      </c>
      <c r="K317" s="9">
        <v>3599253000</v>
      </c>
    </row>
    <row r="318" spans="1:11" x14ac:dyDescent="0.25">
      <c r="A318" s="8" t="s">
        <v>151</v>
      </c>
      <c r="B318" s="11">
        <v>650000000</v>
      </c>
      <c r="C318" s="11">
        <v>700000000</v>
      </c>
      <c r="D318" s="11">
        <v>700000000</v>
      </c>
      <c r="E318" s="11">
        <v>700000000</v>
      </c>
      <c r="F318" s="11">
        <v>700000000</v>
      </c>
      <c r="G318" s="11">
        <v>1254422000</v>
      </c>
      <c r="H318" s="11">
        <v>1407536000</v>
      </c>
      <c r="I318" s="11">
        <v>1447474000</v>
      </c>
      <c r="J318" s="11">
        <v>1576954000</v>
      </c>
      <c r="K318" s="11">
        <v>1576954000</v>
      </c>
    </row>
    <row r="319" spans="1:11" x14ac:dyDescent="0.25">
      <c r="A319" s="8" t="s">
        <v>152</v>
      </c>
      <c r="B319" s="11">
        <v>-3487000</v>
      </c>
      <c r="C319" s="11">
        <v>-3487000</v>
      </c>
      <c r="D319" s="11">
        <v>-2732000</v>
      </c>
      <c r="E319" s="11">
        <v>-2996000</v>
      </c>
      <c r="F319" s="11">
        <v>-2922000</v>
      </c>
      <c r="G319" s="11">
        <v>-9920000</v>
      </c>
      <c r="H319" s="11">
        <v>93277000</v>
      </c>
      <c r="I319" s="11">
        <v>107225000</v>
      </c>
      <c r="J319" s="11">
        <v>-19833000</v>
      </c>
      <c r="K319" s="11">
        <v>-13366000</v>
      </c>
    </row>
    <row r="320" spans="1:11" x14ac:dyDescent="0.25">
      <c r="A320" s="8" t="s">
        <v>159</v>
      </c>
      <c r="B320" s="11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</row>
    <row r="321" spans="1:11" x14ac:dyDescent="0.25">
      <c r="A321" s="10" t="s">
        <v>266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</row>
    <row r="322" spans="1:11" x14ac:dyDescent="0.25">
      <c r="A322" s="10" t="s">
        <v>267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</row>
    <row r="323" spans="1:11" x14ac:dyDescent="0.25">
      <c r="A323" s="8" t="s">
        <v>160</v>
      </c>
      <c r="B323" s="11">
        <v>76615000</v>
      </c>
      <c r="C323" s="11">
        <v>88416000</v>
      </c>
      <c r="D323" s="11">
        <v>207812000</v>
      </c>
      <c r="E323" s="11">
        <v>256546000</v>
      </c>
      <c r="F323" s="11">
        <v>292107000</v>
      </c>
      <c r="G323" s="11">
        <v>310193000</v>
      </c>
      <c r="H323" s="11">
        <v>252380000</v>
      </c>
      <c r="I323" s="11">
        <v>393156000</v>
      </c>
      <c r="J323" s="11">
        <v>606530000</v>
      </c>
      <c r="K323" s="11">
        <v>120921000</v>
      </c>
    </row>
    <row r="324" spans="1:11" x14ac:dyDescent="0.25">
      <c r="A324" s="10" t="s">
        <v>161</v>
      </c>
      <c r="B324" s="9">
        <v>46187000</v>
      </c>
      <c r="C324" s="9">
        <v>50087000</v>
      </c>
      <c r="D324" s="9">
        <v>60012000</v>
      </c>
      <c r="E324" s="9">
        <v>63880000</v>
      </c>
      <c r="F324" s="9">
        <v>66702000</v>
      </c>
      <c r="G324" s="9">
        <v>68114000</v>
      </c>
      <c r="H324" s="9">
        <v>68816000</v>
      </c>
      <c r="I324" s="9">
        <v>79510000</v>
      </c>
      <c r="J324" s="9">
        <v>96648000</v>
      </c>
      <c r="K324" s="9">
        <v>96648000</v>
      </c>
    </row>
    <row r="325" spans="1:11" x14ac:dyDescent="0.25">
      <c r="A325" s="10" t="s">
        <v>162</v>
      </c>
      <c r="B325" s="9">
        <v>30428000</v>
      </c>
      <c r="C325" s="9">
        <v>38329000</v>
      </c>
      <c r="D325" s="9">
        <v>147800000</v>
      </c>
      <c r="E325" s="9">
        <v>192666000</v>
      </c>
      <c r="F325" s="9">
        <v>225405000</v>
      </c>
      <c r="G325" s="9">
        <v>242079000</v>
      </c>
      <c r="H325" s="9">
        <v>183564000</v>
      </c>
      <c r="I325" s="9">
        <v>313646000</v>
      </c>
      <c r="J325" s="9">
        <v>509882000</v>
      </c>
      <c r="K325" s="9">
        <v>24273000</v>
      </c>
    </row>
    <row r="326" spans="1:11" x14ac:dyDescent="0.25">
      <c r="A326" s="10" t="s">
        <v>163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</row>
    <row r="327" spans="1:11" x14ac:dyDescent="0.25">
      <c r="A327" s="10" t="s">
        <v>164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</row>
    <row r="328" spans="1:11" x14ac:dyDescent="0.25">
      <c r="A328" s="10" t="s">
        <v>165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</row>
    <row r="329" spans="1:11" x14ac:dyDescent="0.25">
      <c r="A329" s="10" t="s">
        <v>166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</row>
    <row r="330" spans="1:11" x14ac:dyDescent="0.25">
      <c r="A330" s="10" t="s">
        <v>268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</row>
    <row r="331" spans="1:11" x14ac:dyDescent="0.25">
      <c r="A331" s="8" t="s">
        <v>171</v>
      </c>
      <c r="B331" s="15" t="s">
        <v>14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14</v>
      </c>
      <c r="J331" s="15" t="s">
        <v>14</v>
      </c>
      <c r="K331" s="15" t="s">
        <v>14</v>
      </c>
    </row>
    <row r="332" spans="1:11" x14ac:dyDescent="0.25">
      <c r="A332" s="10" t="s">
        <v>269</v>
      </c>
      <c r="B332" s="14" t="s">
        <v>14</v>
      </c>
      <c r="C332" s="14" t="s">
        <v>14</v>
      </c>
      <c r="D332" s="14" t="s">
        <v>14</v>
      </c>
      <c r="E332" s="14" t="s">
        <v>14</v>
      </c>
      <c r="F332" s="14" t="s">
        <v>14</v>
      </c>
      <c r="G332" s="14" t="s">
        <v>14</v>
      </c>
      <c r="H332" s="14" t="s">
        <v>14</v>
      </c>
      <c r="I332" s="14" t="s">
        <v>14</v>
      </c>
      <c r="J332" s="14" t="s">
        <v>14</v>
      </c>
      <c r="K332" s="14" t="s">
        <v>14</v>
      </c>
    </row>
    <row r="333" spans="1:11" x14ac:dyDescent="0.25">
      <c r="A333" s="10" t="s">
        <v>172</v>
      </c>
      <c r="B333" s="14" t="s">
        <v>14</v>
      </c>
      <c r="C333" s="14" t="s">
        <v>14</v>
      </c>
      <c r="D333" s="14" t="s">
        <v>14</v>
      </c>
      <c r="E333" s="14" t="s">
        <v>14</v>
      </c>
      <c r="F333" s="14" t="s">
        <v>14</v>
      </c>
      <c r="G333" s="14" t="s">
        <v>14</v>
      </c>
      <c r="H333" s="14" t="s">
        <v>14</v>
      </c>
      <c r="I333" s="14" t="s">
        <v>14</v>
      </c>
      <c r="J333" s="14" t="s">
        <v>14</v>
      </c>
      <c r="K333" s="14" t="s">
        <v>14</v>
      </c>
    </row>
    <row r="334" spans="1:11" x14ac:dyDescent="0.25">
      <c r="A334" s="10" t="s">
        <v>270</v>
      </c>
      <c r="B334" s="14" t="s">
        <v>14</v>
      </c>
      <c r="C334" s="14" t="s">
        <v>14</v>
      </c>
      <c r="D334" s="14" t="s">
        <v>14</v>
      </c>
      <c r="E334" s="14" t="s">
        <v>14</v>
      </c>
      <c r="F334" s="14" t="s">
        <v>14</v>
      </c>
      <c r="G334" s="14" t="s">
        <v>14</v>
      </c>
      <c r="H334" s="14" t="s">
        <v>14</v>
      </c>
      <c r="I334" s="14" t="s">
        <v>14</v>
      </c>
      <c r="J334" s="14" t="s">
        <v>14</v>
      </c>
      <c r="K334" s="14" t="s">
        <v>14</v>
      </c>
    </row>
    <row r="335" spans="1:11" x14ac:dyDescent="0.25">
      <c r="A335" s="8" t="s">
        <v>170</v>
      </c>
      <c r="B335" s="11">
        <v>16067000</v>
      </c>
      <c r="C335" s="11">
        <v>89043000</v>
      </c>
      <c r="D335" s="11">
        <v>26781000</v>
      </c>
      <c r="E335" s="11">
        <v>68438000</v>
      </c>
      <c r="F335" s="11">
        <v>3373000</v>
      </c>
      <c r="G335" s="11">
        <v>27166000</v>
      </c>
      <c r="H335" s="11">
        <v>39255000</v>
      </c>
      <c r="I335" s="11">
        <v>175221000</v>
      </c>
      <c r="J335" s="11">
        <v>-340115000</v>
      </c>
      <c r="K335" s="11">
        <v>269323000</v>
      </c>
    </row>
    <row r="336" spans="1:11" x14ac:dyDescent="0.25">
      <c r="A336" s="8" t="s">
        <v>158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</row>
    <row r="337" spans="1:11" x14ac:dyDescent="0.25">
      <c r="A337" s="3" t="s">
        <v>271</v>
      </c>
      <c r="B337" s="5" t="s">
        <v>14</v>
      </c>
      <c r="C337" s="5" t="s">
        <v>14</v>
      </c>
      <c r="D337" s="5" t="s">
        <v>14</v>
      </c>
      <c r="E337" s="5" t="s">
        <v>14</v>
      </c>
      <c r="F337" s="5" t="s">
        <v>14</v>
      </c>
      <c r="G337" s="5" t="s">
        <v>14</v>
      </c>
      <c r="H337" s="5" t="s">
        <v>14</v>
      </c>
      <c r="I337" s="5" t="s">
        <v>14</v>
      </c>
      <c r="J337" s="5" t="s">
        <v>14</v>
      </c>
      <c r="K337" s="5" t="s">
        <v>14</v>
      </c>
    </row>
    <row r="338" spans="1:11" x14ac:dyDescent="0.25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x14ac:dyDescent="0.25">
      <c r="A339" s="3" t="s">
        <v>174</v>
      </c>
      <c r="B339" s="5" t="s">
        <v>2</v>
      </c>
      <c r="C339" s="5" t="s">
        <v>2</v>
      </c>
      <c r="D339" s="5" t="s">
        <v>2</v>
      </c>
      <c r="E339" s="5" t="s">
        <v>2</v>
      </c>
      <c r="F339" s="5" t="s">
        <v>2</v>
      </c>
      <c r="G339" s="5" t="s">
        <v>2</v>
      </c>
      <c r="H339" s="5" t="s">
        <v>2</v>
      </c>
      <c r="I339" s="5" t="s">
        <v>2</v>
      </c>
      <c r="J339" s="5" t="s">
        <v>2</v>
      </c>
      <c r="K339" s="5" t="s">
        <v>2</v>
      </c>
    </row>
    <row r="340" spans="1:11" x14ac:dyDescent="0.25">
      <c r="A340" s="3" t="s">
        <v>175</v>
      </c>
      <c r="B340" s="5">
        <v>12</v>
      </c>
      <c r="C340" s="5">
        <v>12</v>
      </c>
      <c r="D340" s="5">
        <v>12</v>
      </c>
      <c r="E340" s="5">
        <v>12</v>
      </c>
      <c r="F340" s="5">
        <v>12</v>
      </c>
      <c r="G340" s="5">
        <v>12</v>
      </c>
      <c r="H340" s="5">
        <v>12</v>
      </c>
      <c r="I340" s="5">
        <v>12</v>
      </c>
      <c r="J340" s="5">
        <v>12</v>
      </c>
      <c r="K340" s="5">
        <v>12</v>
      </c>
    </row>
    <row r="341" spans="1:11" x14ac:dyDescent="0.25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x14ac:dyDescent="0.25">
      <c r="A342" s="3" t="s">
        <v>272</v>
      </c>
      <c r="B342" s="5" t="s">
        <v>14</v>
      </c>
      <c r="C342" s="5" t="s">
        <v>14</v>
      </c>
      <c r="D342" s="5" t="s">
        <v>14</v>
      </c>
      <c r="E342" s="5" t="s">
        <v>14</v>
      </c>
      <c r="F342" s="5" t="s">
        <v>14</v>
      </c>
      <c r="G342" s="5" t="s">
        <v>14</v>
      </c>
      <c r="H342" s="5" t="s">
        <v>14</v>
      </c>
      <c r="I342" s="5" t="s">
        <v>14</v>
      </c>
      <c r="J342" s="5" t="s">
        <v>14</v>
      </c>
      <c r="K342" s="5" t="s">
        <v>14</v>
      </c>
    </row>
    <row r="343" spans="1:11" x14ac:dyDescent="0.25">
      <c r="A343" s="3" t="s">
        <v>273</v>
      </c>
      <c r="B343" s="5" t="s">
        <v>14</v>
      </c>
      <c r="C343" s="5" t="s">
        <v>14</v>
      </c>
      <c r="D343" s="5" t="s">
        <v>14</v>
      </c>
      <c r="E343" s="5" t="s">
        <v>14</v>
      </c>
      <c r="F343" s="5" t="s">
        <v>14</v>
      </c>
      <c r="G343" s="5" t="s">
        <v>14</v>
      </c>
      <c r="H343" s="5" t="s">
        <v>14</v>
      </c>
      <c r="I343" s="5" t="s">
        <v>14</v>
      </c>
      <c r="J343" s="5" t="s">
        <v>14</v>
      </c>
      <c r="K343" s="5" t="s">
        <v>14</v>
      </c>
    </row>
    <row r="344" spans="1:11" x14ac:dyDescent="0.25">
      <c r="A344" s="3" t="s">
        <v>274</v>
      </c>
      <c r="B344" s="7">
        <v>4242302000</v>
      </c>
      <c r="C344" s="7">
        <v>6011342000</v>
      </c>
      <c r="D344" s="7">
        <v>6070437000</v>
      </c>
      <c r="E344" s="7">
        <v>6177310000</v>
      </c>
      <c r="F344" s="7">
        <v>7168449000</v>
      </c>
      <c r="G344" s="7">
        <v>6874815000</v>
      </c>
      <c r="H344" s="7">
        <v>8430332000</v>
      </c>
      <c r="I344" s="7">
        <v>10208512000</v>
      </c>
      <c r="J344" s="7">
        <v>8277349000</v>
      </c>
      <c r="K344" s="7">
        <v>11681143000</v>
      </c>
    </row>
    <row r="345" spans="1:11" x14ac:dyDescent="0.25">
      <c r="A345" s="3" t="s">
        <v>177</v>
      </c>
      <c r="B345" s="7">
        <v>3707618000</v>
      </c>
      <c r="C345" s="7">
        <v>5263264000</v>
      </c>
      <c r="D345" s="7">
        <v>5250858000</v>
      </c>
      <c r="E345" s="7">
        <v>5345434000</v>
      </c>
      <c r="F345" s="7">
        <v>6202370000</v>
      </c>
      <c r="G345" s="7">
        <v>5844879000</v>
      </c>
      <c r="H345" s="7">
        <v>7183696000</v>
      </c>
      <c r="I345" s="7">
        <v>8877437000</v>
      </c>
      <c r="J345" s="7">
        <v>7678996000</v>
      </c>
      <c r="K345" s="7">
        <v>10333416000</v>
      </c>
    </row>
    <row r="346" spans="1:11" x14ac:dyDescent="0.25">
      <c r="A346" s="3" t="s">
        <v>178</v>
      </c>
      <c r="B346" s="7">
        <v>534684000</v>
      </c>
      <c r="C346" s="7">
        <v>748078000</v>
      </c>
      <c r="D346" s="7">
        <v>819579000</v>
      </c>
      <c r="E346" s="7">
        <v>831876000</v>
      </c>
      <c r="F346" s="7">
        <v>966079000</v>
      </c>
      <c r="G346" s="7">
        <v>1029936000</v>
      </c>
      <c r="H346" s="7">
        <v>1246636000</v>
      </c>
      <c r="I346" s="7">
        <v>1331075000</v>
      </c>
      <c r="J346" s="7">
        <v>598353000</v>
      </c>
      <c r="K346" s="7">
        <v>1347727000</v>
      </c>
    </row>
    <row r="347" spans="1:11" x14ac:dyDescent="0.25">
      <c r="A347" s="3" t="s">
        <v>275</v>
      </c>
      <c r="B347" s="5" t="s">
        <v>14</v>
      </c>
      <c r="C347" s="5" t="s">
        <v>14</v>
      </c>
      <c r="D347" s="5" t="s">
        <v>14</v>
      </c>
      <c r="E347" s="5" t="s">
        <v>14</v>
      </c>
      <c r="F347" s="5" t="s">
        <v>14</v>
      </c>
      <c r="G347" s="5" t="s">
        <v>14</v>
      </c>
      <c r="H347" s="5" t="s">
        <v>14</v>
      </c>
      <c r="I347" s="5" t="s">
        <v>14</v>
      </c>
      <c r="J347" s="5" t="s">
        <v>14</v>
      </c>
      <c r="K347" s="5" t="s">
        <v>14</v>
      </c>
    </row>
    <row r="348" spans="1:11" x14ac:dyDescent="0.25">
      <c r="A348" s="6" t="s">
        <v>276</v>
      </c>
      <c r="B348" s="9">
        <v>87261000</v>
      </c>
      <c r="C348" s="9">
        <v>115562000</v>
      </c>
      <c r="D348" s="9">
        <v>122098000</v>
      </c>
      <c r="E348" s="9">
        <v>124358000</v>
      </c>
      <c r="F348" s="9">
        <v>164275000</v>
      </c>
      <c r="G348" s="9">
        <v>153427000</v>
      </c>
      <c r="H348" s="9">
        <v>103802000</v>
      </c>
      <c r="I348" s="9">
        <v>75051000</v>
      </c>
      <c r="J348" s="9">
        <v>57600000</v>
      </c>
      <c r="K348" s="9">
        <v>69844000</v>
      </c>
    </row>
    <row r="349" spans="1:11" x14ac:dyDescent="0.25">
      <c r="A349" s="6" t="s">
        <v>277</v>
      </c>
      <c r="B349" s="9">
        <v>163914000</v>
      </c>
      <c r="C349" s="9">
        <v>243159000</v>
      </c>
      <c r="D349" s="9">
        <v>299536000</v>
      </c>
      <c r="E349" s="9">
        <v>271494000</v>
      </c>
      <c r="F349" s="9">
        <v>374439000</v>
      </c>
      <c r="G349" s="9">
        <v>384521000</v>
      </c>
      <c r="H349" s="9">
        <v>452359000</v>
      </c>
      <c r="I349" s="9">
        <v>497531000</v>
      </c>
      <c r="J349" s="9">
        <v>486721000</v>
      </c>
      <c r="K349" s="9">
        <v>592188000</v>
      </c>
    </row>
    <row r="350" spans="1:11" x14ac:dyDescent="0.25">
      <c r="A350" s="3" t="s">
        <v>278</v>
      </c>
      <c r="B350" s="5" t="s">
        <v>14</v>
      </c>
      <c r="C350" s="5" t="s">
        <v>14</v>
      </c>
      <c r="D350" s="5" t="s">
        <v>14</v>
      </c>
      <c r="E350" s="5" t="s">
        <v>14</v>
      </c>
      <c r="F350" s="5" t="s">
        <v>14</v>
      </c>
      <c r="G350" s="5" t="s">
        <v>14</v>
      </c>
      <c r="H350" s="5" t="s">
        <v>14</v>
      </c>
      <c r="I350" s="5" t="s">
        <v>14</v>
      </c>
      <c r="J350" s="5" t="s">
        <v>14</v>
      </c>
      <c r="K350" s="5" t="s">
        <v>14</v>
      </c>
    </row>
    <row r="351" spans="1:11" x14ac:dyDescent="0.25">
      <c r="A351" s="6" t="s">
        <v>279</v>
      </c>
      <c r="B351" s="14" t="s">
        <v>14</v>
      </c>
      <c r="C351" s="14" t="s">
        <v>14</v>
      </c>
      <c r="D351" s="14" t="s">
        <v>14</v>
      </c>
      <c r="E351" s="14" t="s">
        <v>14</v>
      </c>
      <c r="F351" s="14" t="s">
        <v>14</v>
      </c>
      <c r="G351" s="14" t="s">
        <v>14</v>
      </c>
      <c r="H351" s="14" t="s">
        <v>14</v>
      </c>
      <c r="I351" s="14" t="s">
        <v>14</v>
      </c>
      <c r="J351" s="14" t="s">
        <v>14</v>
      </c>
      <c r="K351" s="14" t="s">
        <v>14</v>
      </c>
    </row>
    <row r="352" spans="1:11" x14ac:dyDescent="0.25">
      <c r="A352" s="6" t="s">
        <v>280</v>
      </c>
      <c r="B352" s="14" t="s">
        <v>14</v>
      </c>
      <c r="C352" s="14" t="s">
        <v>14</v>
      </c>
      <c r="D352" s="14" t="s">
        <v>14</v>
      </c>
      <c r="E352" s="14" t="s">
        <v>14</v>
      </c>
      <c r="F352" s="14" t="s">
        <v>14</v>
      </c>
      <c r="G352" s="14" t="s">
        <v>14</v>
      </c>
      <c r="H352" s="14" t="s">
        <v>14</v>
      </c>
      <c r="I352" s="14" t="s">
        <v>14</v>
      </c>
      <c r="J352" s="14" t="s">
        <v>14</v>
      </c>
      <c r="K352" s="14" t="s">
        <v>14</v>
      </c>
    </row>
    <row r="353" spans="1:11" x14ac:dyDescent="0.25">
      <c r="A353" s="3" t="s">
        <v>281</v>
      </c>
      <c r="B353" s="5" t="s">
        <v>14</v>
      </c>
      <c r="C353" s="5" t="s">
        <v>14</v>
      </c>
      <c r="D353" s="5" t="s">
        <v>14</v>
      </c>
      <c r="E353" s="5" t="s">
        <v>14</v>
      </c>
      <c r="F353" s="5" t="s">
        <v>14</v>
      </c>
      <c r="G353" s="5" t="s">
        <v>14</v>
      </c>
      <c r="H353" s="5" t="s">
        <v>14</v>
      </c>
      <c r="I353" s="5" t="s">
        <v>14</v>
      </c>
      <c r="J353" s="5" t="s">
        <v>14</v>
      </c>
      <c r="K353" s="5" t="s">
        <v>14</v>
      </c>
    </row>
    <row r="354" spans="1:11" x14ac:dyDescent="0.25">
      <c r="A354" s="3" t="s">
        <v>282</v>
      </c>
      <c r="B354" s="5" t="s">
        <v>14</v>
      </c>
      <c r="C354" s="5" t="s">
        <v>14</v>
      </c>
      <c r="D354" s="5" t="s">
        <v>14</v>
      </c>
      <c r="E354" s="5" t="s">
        <v>14</v>
      </c>
      <c r="F354" s="5" t="s">
        <v>14</v>
      </c>
      <c r="G354" s="5" t="s">
        <v>14</v>
      </c>
      <c r="H354" s="5" t="s">
        <v>14</v>
      </c>
      <c r="I354" s="5" t="s">
        <v>14</v>
      </c>
      <c r="J354" s="5" t="s">
        <v>14</v>
      </c>
      <c r="K354" s="5" t="s">
        <v>14</v>
      </c>
    </row>
    <row r="355" spans="1:11" x14ac:dyDescent="0.25">
      <c r="A355" s="6" t="s">
        <v>188</v>
      </c>
      <c r="B355" s="9">
        <v>83415000</v>
      </c>
      <c r="C355" s="9">
        <v>15810999.999</v>
      </c>
      <c r="D355" s="9">
        <v>24806000</v>
      </c>
      <c r="E355" s="9">
        <v>46050000</v>
      </c>
      <c r="F355" s="9">
        <v>40645000</v>
      </c>
      <c r="G355" s="9">
        <v>34851000</v>
      </c>
      <c r="H355" s="9">
        <v>38680000</v>
      </c>
      <c r="I355" s="9">
        <v>11793000</v>
      </c>
      <c r="J355" s="9">
        <v>65478000</v>
      </c>
      <c r="K355" s="9">
        <v>94479000</v>
      </c>
    </row>
    <row r="356" spans="1:11" x14ac:dyDescent="0.25">
      <c r="A356" s="6" t="s">
        <v>283</v>
      </c>
      <c r="B356" s="14" t="s">
        <v>14</v>
      </c>
      <c r="C356" s="14" t="s">
        <v>14</v>
      </c>
      <c r="D356" s="14" t="s">
        <v>14</v>
      </c>
      <c r="E356" s="14" t="s">
        <v>14</v>
      </c>
      <c r="F356" s="14" t="s">
        <v>14</v>
      </c>
      <c r="G356" s="14" t="s">
        <v>14</v>
      </c>
      <c r="H356" s="14" t="s">
        <v>14</v>
      </c>
      <c r="I356" s="14" t="s">
        <v>14</v>
      </c>
      <c r="J356" s="14" t="s">
        <v>14</v>
      </c>
      <c r="K356" s="14" t="s">
        <v>14</v>
      </c>
    </row>
    <row r="357" spans="1:11" x14ac:dyDescent="0.25">
      <c r="A357" s="8" t="s">
        <v>284</v>
      </c>
      <c r="B357" s="11">
        <v>136968000</v>
      </c>
      <c r="C357" s="11">
        <v>224608000</v>
      </c>
      <c r="D357" s="11">
        <v>260781000</v>
      </c>
      <c r="E357" s="11">
        <v>322691000</v>
      </c>
      <c r="F357" s="11">
        <v>394978000</v>
      </c>
      <c r="G357" s="11">
        <v>318536000</v>
      </c>
      <c r="H357" s="11">
        <v>397821000</v>
      </c>
      <c r="I357" s="11">
        <v>230664000</v>
      </c>
      <c r="J357" s="11">
        <v>241577000</v>
      </c>
      <c r="K357" s="11">
        <v>321349000</v>
      </c>
    </row>
    <row r="358" spans="1:11" x14ac:dyDescent="0.25">
      <c r="A358" s="8" t="s">
        <v>285</v>
      </c>
      <c r="B358" s="15" t="s">
        <v>14</v>
      </c>
      <c r="C358" s="15" t="s">
        <v>14</v>
      </c>
      <c r="D358" s="15" t="s">
        <v>14</v>
      </c>
      <c r="E358" s="15" t="s">
        <v>14</v>
      </c>
      <c r="F358" s="15" t="s">
        <v>14</v>
      </c>
      <c r="G358" s="15" t="s">
        <v>14</v>
      </c>
      <c r="H358" s="15" t="s">
        <v>14</v>
      </c>
      <c r="I358" s="15" t="s">
        <v>14</v>
      </c>
      <c r="J358" s="15" t="s">
        <v>14</v>
      </c>
      <c r="K358" s="15" t="s">
        <v>14</v>
      </c>
    </row>
    <row r="359" spans="1:11" x14ac:dyDescent="0.25">
      <c r="A359" s="3" t="s">
        <v>286</v>
      </c>
      <c r="B359" s="7">
        <v>0</v>
      </c>
      <c r="C359" s="7">
        <v>7022000</v>
      </c>
      <c r="D359" s="7">
        <v>-34083000</v>
      </c>
      <c r="E359" s="7">
        <v>74286000</v>
      </c>
      <c r="F359" s="7">
        <v>-15967000</v>
      </c>
      <c r="G359" s="7">
        <v>-36061000</v>
      </c>
      <c r="H359" s="7">
        <v>-6741000</v>
      </c>
      <c r="I359" s="7">
        <v>-20249000</v>
      </c>
      <c r="J359" s="7">
        <v>-9058000</v>
      </c>
      <c r="K359" s="7">
        <v>10263000</v>
      </c>
    </row>
    <row r="360" spans="1:11" x14ac:dyDescent="0.25">
      <c r="A360" s="3" t="s">
        <v>287</v>
      </c>
      <c r="B360" s="5" t="s">
        <v>14</v>
      </c>
      <c r="C360" s="5" t="s">
        <v>14</v>
      </c>
      <c r="D360" s="5" t="s">
        <v>14</v>
      </c>
      <c r="E360" s="5" t="s">
        <v>14</v>
      </c>
      <c r="F360" s="5" t="s">
        <v>14</v>
      </c>
      <c r="G360" s="5" t="s">
        <v>14</v>
      </c>
      <c r="H360" s="5" t="s">
        <v>14</v>
      </c>
      <c r="I360" s="5" t="s">
        <v>14</v>
      </c>
      <c r="J360" s="5" t="s">
        <v>14</v>
      </c>
      <c r="K360" s="5" t="s">
        <v>14</v>
      </c>
    </row>
    <row r="361" spans="1:11" x14ac:dyDescent="0.25">
      <c r="A361" s="3" t="s">
        <v>288</v>
      </c>
      <c r="B361" s="5" t="s">
        <v>14</v>
      </c>
      <c r="C361" s="5" t="s">
        <v>14</v>
      </c>
      <c r="D361" s="5" t="s">
        <v>14</v>
      </c>
      <c r="E361" s="5" t="s">
        <v>14</v>
      </c>
      <c r="F361" s="5" t="s">
        <v>14</v>
      </c>
      <c r="G361" s="5" t="s">
        <v>14</v>
      </c>
      <c r="H361" s="5" t="s">
        <v>14</v>
      </c>
      <c r="I361" s="5" t="s">
        <v>14</v>
      </c>
      <c r="J361" s="5" t="s">
        <v>14</v>
      </c>
      <c r="K361" s="5" t="s">
        <v>14</v>
      </c>
    </row>
    <row r="362" spans="1:11" x14ac:dyDescent="0.25">
      <c r="A362" s="6" t="s">
        <v>289</v>
      </c>
      <c r="B362" s="14" t="s">
        <v>14</v>
      </c>
      <c r="C362" s="14" t="s">
        <v>14</v>
      </c>
      <c r="D362" s="14" t="s">
        <v>14</v>
      </c>
      <c r="E362" s="14" t="s">
        <v>14</v>
      </c>
      <c r="F362" s="14" t="s">
        <v>14</v>
      </c>
      <c r="G362" s="14" t="s">
        <v>14</v>
      </c>
      <c r="H362" s="14" t="s">
        <v>14</v>
      </c>
      <c r="I362" s="14" t="s">
        <v>14</v>
      </c>
      <c r="J362" s="14" t="s">
        <v>14</v>
      </c>
      <c r="K362" s="14" t="s">
        <v>14</v>
      </c>
    </row>
    <row r="363" spans="1:11" x14ac:dyDescent="0.25">
      <c r="A363" s="6" t="s">
        <v>290</v>
      </c>
      <c r="B363" s="14" t="s">
        <v>14</v>
      </c>
      <c r="C363" s="14" t="s">
        <v>14</v>
      </c>
      <c r="D363" s="14" t="s">
        <v>14</v>
      </c>
      <c r="E363" s="14" t="s">
        <v>14</v>
      </c>
      <c r="F363" s="14" t="s">
        <v>14</v>
      </c>
      <c r="G363" s="14" t="s">
        <v>14</v>
      </c>
      <c r="H363" s="14" t="s">
        <v>14</v>
      </c>
      <c r="I363" s="14" t="s">
        <v>14</v>
      </c>
      <c r="J363" s="14" t="s">
        <v>14</v>
      </c>
      <c r="K363" s="14" t="s">
        <v>14</v>
      </c>
    </row>
    <row r="364" spans="1:11" x14ac:dyDescent="0.25">
      <c r="A364" s="3" t="s">
        <v>190</v>
      </c>
      <c r="B364" s="7">
        <v>238521000</v>
      </c>
      <c r="C364" s="7">
        <v>193620000</v>
      </c>
      <c r="D364" s="7">
        <v>166174000</v>
      </c>
      <c r="E364" s="7">
        <v>194445000</v>
      </c>
      <c r="F364" s="7">
        <v>105014000</v>
      </c>
      <c r="G364" s="7">
        <v>178344000</v>
      </c>
      <c r="H364" s="7">
        <v>237630000</v>
      </c>
      <c r="I364" s="7">
        <v>490921000</v>
      </c>
      <c r="J364" s="7">
        <v>-91801000</v>
      </c>
      <c r="K364" s="7">
        <v>512319000</v>
      </c>
    </row>
    <row r="365" spans="1:11" x14ac:dyDescent="0.25">
      <c r="A365" s="3" t="s">
        <v>291</v>
      </c>
      <c r="B365" s="7">
        <v>81572000</v>
      </c>
      <c r="C365" s="7">
        <v>68439000</v>
      </c>
      <c r="D365" s="7">
        <v>87864000</v>
      </c>
      <c r="E365" s="7">
        <v>83677000</v>
      </c>
      <c r="F365" s="7">
        <v>102980000</v>
      </c>
      <c r="G365" s="7">
        <v>107418000</v>
      </c>
      <c r="H365" s="7">
        <v>157575000</v>
      </c>
      <c r="I365" s="7">
        <v>163510000</v>
      </c>
      <c r="J365" s="7">
        <v>99251000</v>
      </c>
      <c r="K365" s="7">
        <v>302408000</v>
      </c>
    </row>
    <row r="366" spans="1:11" x14ac:dyDescent="0.25">
      <c r="A366" s="3" t="s">
        <v>292</v>
      </c>
      <c r="B366" s="7">
        <v>22297000</v>
      </c>
      <c r="C366" s="7">
        <v>-43222000</v>
      </c>
      <c r="D366" s="7">
        <v>-94859000</v>
      </c>
      <c r="E366" s="7">
        <v>-51462000</v>
      </c>
      <c r="F366" s="7">
        <v>-61412000</v>
      </c>
      <c r="G366" s="7">
        <v>-33475000</v>
      </c>
      <c r="H366" s="7">
        <v>-20636000</v>
      </c>
      <c r="I366" s="7">
        <v>-117150000</v>
      </c>
      <c r="J366" s="7">
        <v>-79991000</v>
      </c>
      <c r="K366" s="7">
        <v>-4559000</v>
      </c>
    </row>
    <row r="367" spans="1:11" x14ac:dyDescent="0.25">
      <c r="A367" s="3" t="s">
        <v>293</v>
      </c>
      <c r="B367" s="5" t="s">
        <v>14</v>
      </c>
      <c r="C367" s="5" t="s">
        <v>14</v>
      </c>
      <c r="D367" s="5" t="s">
        <v>14</v>
      </c>
      <c r="E367" s="5" t="s">
        <v>14</v>
      </c>
      <c r="F367" s="5" t="s">
        <v>14</v>
      </c>
      <c r="G367" s="5" t="s">
        <v>14</v>
      </c>
      <c r="H367" s="5" t="s">
        <v>14</v>
      </c>
      <c r="I367" s="5" t="s">
        <v>14</v>
      </c>
      <c r="J367" s="5" t="s">
        <v>14</v>
      </c>
      <c r="K367" s="5" t="s">
        <v>14</v>
      </c>
    </row>
    <row r="368" spans="1:11" x14ac:dyDescent="0.25">
      <c r="A368" s="6" t="s">
        <v>294</v>
      </c>
      <c r="B368" s="14" t="s">
        <v>14</v>
      </c>
      <c r="C368" s="14" t="s">
        <v>14</v>
      </c>
      <c r="D368" s="14" t="s">
        <v>14</v>
      </c>
      <c r="E368" s="14" t="s">
        <v>14</v>
      </c>
      <c r="F368" s="14" t="s">
        <v>14</v>
      </c>
      <c r="G368" s="14" t="s">
        <v>14</v>
      </c>
      <c r="H368" s="14" t="s">
        <v>14</v>
      </c>
      <c r="I368" s="14" t="s">
        <v>14</v>
      </c>
      <c r="J368" s="14" t="s">
        <v>14</v>
      </c>
      <c r="K368" s="14" t="s">
        <v>14</v>
      </c>
    </row>
    <row r="369" spans="1:11" x14ac:dyDescent="0.25">
      <c r="A369" s="6" t="s">
        <v>295</v>
      </c>
      <c r="B369" s="14" t="s">
        <v>14</v>
      </c>
      <c r="C369" s="14" t="s">
        <v>14</v>
      </c>
      <c r="D369" s="14" t="s">
        <v>14</v>
      </c>
      <c r="E369" s="14" t="s">
        <v>14</v>
      </c>
      <c r="F369" s="14" t="s">
        <v>14</v>
      </c>
      <c r="G369" s="14" t="s">
        <v>14</v>
      </c>
      <c r="H369" s="14" t="s">
        <v>14</v>
      </c>
      <c r="I369" s="14" t="s">
        <v>14</v>
      </c>
      <c r="J369" s="14" t="s">
        <v>14</v>
      </c>
      <c r="K369" s="14" t="s">
        <v>14</v>
      </c>
    </row>
    <row r="370" spans="1:11" x14ac:dyDescent="0.25">
      <c r="A370" s="3" t="s">
        <v>296</v>
      </c>
      <c r="B370" s="5" t="s">
        <v>14</v>
      </c>
      <c r="C370" s="5" t="s">
        <v>14</v>
      </c>
      <c r="D370" s="5" t="s">
        <v>14</v>
      </c>
      <c r="E370" s="5" t="s">
        <v>14</v>
      </c>
      <c r="F370" s="5" t="s">
        <v>14</v>
      </c>
      <c r="G370" s="5" t="s">
        <v>14</v>
      </c>
      <c r="H370" s="5" t="s">
        <v>14</v>
      </c>
      <c r="I370" s="5" t="s">
        <v>14</v>
      </c>
      <c r="J370" s="5" t="s">
        <v>14</v>
      </c>
      <c r="K370" s="5" t="s">
        <v>14</v>
      </c>
    </row>
    <row r="371" spans="1:11" x14ac:dyDescent="0.25">
      <c r="A371" s="3" t="s">
        <v>199</v>
      </c>
      <c r="B371" s="7">
        <v>14412000</v>
      </c>
      <c r="C371" s="7">
        <v>45563000</v>
      </c>
      <c r="D371" s="7">
        <v>46547000</v>
      </c>
      <c r="E371" s="7">
        <v>53331000</v>
      </c>
      <c r="F371" s="7">
        <v>77853000</v>
      </c>
      <c r="G371" s="7">
        <v>59341000</v>
      </c>
      <c r="H371" s="7">
        <v>86438000</v>
      </c>
      <c r="I371" s="7">
        <v>100917000</v>
      </c>
      <c r="J371" s="7">
        <v>68195000</v>
      </c>
      <c r="K371" s="7">
        <v>96758000</v>
      </c>
    </row>
    <row r="372" spans="1:11" x14ac:dyDescent="0.25">
      <c r="A372" s="3" t="s">
        <v>200</v>
      </c>
      <c r="B372" s="7">
        <v>120240000</v>
      </c>
      <c r="C372" s="7">
        <v>122840000</v>
      </c>
      <c r="D372" s="7">
        <v>126622000</v>
      </c>
      <c r="E372" s="7">
        <v>108899000</v>
      </c>
      <c r="F372" s="7">
        <v>-14407000</v>
      </c>
      <c r="G372" s="7">
        <v>45060000</v>
      </c>
      <c r="H372" s="7">
        <v>14253000</v>
      </c>
      <c r="I372" s="7">
        <v>343644000</v>
      </c>
      <c r="J372" s="7">
        <v>-179256000</v>
      </c>
      <c r="K372" s="7">
        <v>117712000</v>
      </c>
    </row>
    <row r="373" spans="1:11" x14ac:dyDescent="0.25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x14ac:dyDescent="0.25">
      <c r="A374" s="3" t="s">
        <v>297</v>
      </c>
      <c r="B374" s="5" t="s">
        <v>2</v>
      </c>
      <c r="C374" s="5" t="s">
        <v>2</v>
      </c>
      <c r="D374" s="5" t="s">
        <v>2</v>
      </c>
      <c r="E374" s="5" t="s">
        <v>2</v>
      </c>
      <c r="F374" s="5" t="s">
        <v>2</v>
      </c>
      <c r="G374" s="5" t="s">
        <v>2</v>
      </c>
      <c r="H374" s="5" t="s">
        <v>2</v>
      </c>
      <c r="I374" s="5" t="s">
        <v>2</v>
      </c>
      <c r="J374" s="5" t="s">
        <v>2</v>
      </c>
      <c r="K374" s="5" t="s">
        <v>2</v>
      </c>
    </row>
    <row r="375" spans="1:11" x14ac:dyDescent="0.25">
      <c r="A375" s="3" t="s">
        <v>175</v>
      </c>
      <c r="B375" s="5">
        <v>12</v>
      </c>
      <c r="C375" s="5">
        <v>12</v>
      </c>
      <c r="D375" s="5">
        <v>12</v>
      </c>
      <c r="E375" s="5">
        <v>12</v>
      </c>
      <c r="F375" s="5">
        <v>12</v>
      </c>
      <c r="G375" s="5">
        <v>12</v>
      </c>
      <c r="H375" s="5">
        <v>12</v>
      </c>
      <c r="I375" s="5">
        <v>12</v>
      </c>
      <c r="J375" s="5">
        <v>12</v>
      </c>
      <c r="K375" s="5">
        <v>12</v>
      </c>
    </row>
    <row r="376" spans="1:11" x14ac:dyDescent="0.25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x14ac:dyDescent="0.25">
      <c r="A377" s="3" t="s">
        <v>298</v>
      </c>
      <c r="B377" s="5" t="s">
        <v>14</v>
      </c>
      <c r="C377" s="5" t="s">
        <v>14</v>
      </c>
      <c r="D377" s="5" t="s">
        <v>14</v>
      </c>
      <c r="E377" s="5" t="s">
        <v>14</v>
      </c>
      <c r="F377" s="5" t="s">
        <v>14</v>
      </c>
      <c r="G377" s="5" t="s">
        <v>14</v>
      </c>
      <c r="H377" s="5" t="s">
        <v>14</v>
      </c>
      <c r="I377" s="5" t="s">
        <v>14</v>
      </c>
      <c r="J377" s="5" t="s">
        <v>14</v>
      </c>
      <c r="K377" s="5" t="s">
        <v>14</v>
      </c>
    </row>
    <row r="378" spans="1:11" x14ac:dyDescent="0.25">
      <c r="A378" s="6" t="s">
        <v>299</v>
      </c>
      <c r="B378" s="14" t="s">
        <v>14</v>
      </c>
      <c r="C378" s="14" t="s">
        <v>14</v>
      </c>
      <c r="D378" s="14" t="s">
        <v>14</v>
      </c>
      <c r="E378" s="14" t="s">
        <v>14</v>
      </c>
      <c r="F378" s="14" t="s">
        <v>14</v>
      </c>
      <c r="G378" s="14" t="s">
        <v>14</v>
      </c>
      <c r="H378" s="14" t="s">
        <v>14</v>
      </c>
      <c r="I378" s="14" t="s">
        <v>14</v>
      </c>
      <c r="J378" s="14" t="s">
        <v>14</v>
      </c>
      <c r="K378" s="14" t="s">
        <v>14</v>
      </c>
    </row>
    <row r="379" spans="1:11" x14ac:dyDescent="0.25">
      <c r="A379" s="8" t="s">
        <v>300</v>
      </c>
      <c r="B379" s="15" t="s">
        <v>14</v>
      </c>
      <c r="C379" s="15" t="s">
        <v>14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 t="s">
        <v>14</v>
      </c>
    </row>
    <row r="380" spans="1:11" x14ac:dyDescent="0.25">
      <c r="A380" s="8" t="s">
        <v>301</v>
      </c>
      <c r="B380" s="15" t="s">
        <v>14</v>
      </c>
      <c r="C380" s="15" t="s">
        <v>14</v>
      </c>
      <c r="D380" s="15" t="s">
        <v>14</v>
      </c>
      <c r="E380" s="15" t="s">
        <v>14</v>
      </c>
      <c r="F380" s="15" t="s">
        <v>14</v>
      </c>
      <c r="G380" s="15" t="s">
        <v>14</v>
      </c>
      <c r="H380" s="15" t="s">
        <v>14</v>
      </c>
      <c r="I380" s="15" t="s">
        <v>14</v>
      </c>
      <c r="J380" s="15" t="s">
        <v>14</v>
      </c>
      <c r="K380" s="15" t="s">
        <v>14</v>
      </c>
    </row>
    <row r="381" spans="1:11" x14ac:dyDescent="0.25">
      <c r="A381" s="10" t="s">
        <v>302</v>
      </c>
      <c r="B381" s="14" t="s">
        <v>14</v>
      </c>
      <c r="C381" s="14" t="s">
        <v>14</v>
      </c>
      <c r="D381" s="14" t="s">
        <v>14</v>
      </c>
      <c r="E381" s="14" t="s">
        <v>14</v>
      </c>
      <c r="F381" s="14" t="s">
        <v>14</v>
      </c>
      <c r="G381" s="14" t="s">
        <v>14</v>
      </c>
      <c r="H381" s="14" t="s">
        <v>14</v>
      </c>
      <c r="I381" s="14" t="s">
        <v>14</v>
      </c>
      <c r="J381" s="14" t="s">
        <v>14</v>
      </c>
      <c r="K381" s="14" t="s">
        <v>14</v>
      </c>
    </row>
    <row r="382" spans="1:11" x14ac:dyDescent="0.25">
      <c r="A382" s="10" t="s">
        <v>303</v>
      </c>
      <c r="B382" s="14" t="s">
        <v>14</v>
      </c>
      <c r="C382" s="14" t="s">
        <v>14</v>
      </c>
      <c r="D382" s="14" t="s">
        <v>14</v>
      </c>
      <c r="E382" s="14" t="s">
        <v>14</v>
      </c>
      <c r="F382" s="14" t="s">
        <v>14</v>
      </c>
      <c r="G382" s="14" t="s">
        <v>14</v>
      </c>
      <c r="H382" s="14" t="s">
        <v>14</v>
      </c>
      <c r="I382" s="14" t="s">
        <v>14</v>
      </c>
      <c r="J382" s="14" t="s">
        <v>14</v>
      </c>
      <c r="K382" s="14" t="s">
        <v>14</v>
      </c>
    </row>
    <row r="383" spans="1:11" x14ac:dyDescent="0.25">
      <c r="A383" s="10" t="s">
        <v>304</v>
      </c>
      <c r="B383" s="14" t="s">
        <v>14</v>
      </c>
      <c r="C383" s="14" t="s">
        <v>14</v>
      </c>
      <c r="D383" s="14" t="s">
        <v>14</v>
      </c>
      <c r="E383" s="14" t="s">
        <v>14</v>
      </c>
      <c r="F383" s="14" t="s">
        <v>14</v>
      </c>
      <c r="G383" s="14" t="s">
        <v>14</v>
      </c>
      <c r="H383" s="14" t="s">
        <v>14</v>
      </c>
      <c r="I383" s="14" t="s">
        <v>14</v>
      </c>
      <c r="J383" s="14" t="s">
        <v>14</v>
      </c>
      <c r="K383" s="14" t="s">
        <v>14</v>
      </c>
    </row>
    <row r="384" spans="1:11" x14ac:dyDescent="0.25">
      <c r="A384" s="10" t="s">
        <v>305</v>
      </c>
      <c r="B384" s="14" t="s">
        <v>14</v>
      </c>
      <c r="C384" s="14" t="s">
        <v>14</v>
      </c>
      <c r="D384" s="14" t="s">
        <v>14</v>
      </c>
      <c r="E384" s="14" t="s">
        <v>14</v>
      </c>
      <c r="F384" s="14" t="s">
        <v>14</v>
      </c>
      <c r="G384" s="14" t="s">
        <v>14</v>
      </c>
      <c r="H384" s="14" t="s">
        <v>14</v>
      </c>
      <c r="I384" s="14" t="s">
        <v>14</v>
      </c>
      <c r="J384" s="14" t="s">
        <v>14</v>
      </c>
      <c r="K384" s="14" t="s">
        <v>14</v>
      </c>
    </row>
    <row r="385" spans="1:11" x14ac:dyDescent="0.25">
      <c r="A385" s="10" t="s">
        <v>306</v>
      </c>
      <c r="B385" s="14" t="s">
        <v>14</v>
      </c>
      <c r="C385" s="14" t="s">
        <v>14</v>
      </c>
      <c r="D385" s="14" t="s">
        <v>14</v>
      </c>
      <c r="E385" s="14" t="s">
        <v>14</v>
      </c>
      <c r="F385" s="14" t="s">
        <v>14</v>
      </c>
      <c r="G385" s="14" t="s">
        <v>14</v>
      </c>
      <c r="H385" s="14" t="s">
        <v>14</v>
      </c>
      <c r="I385" s="14" t="s">
        <v>14</v>
      </c>
      <c r="J385" s="14" t="s">
        <v>14</v>
      </c>
      <c r="K385" s="14" t="s">
        <v>14</v>
      </c>
    </row>
    <row r="386" spans="1:11" x14ac:dyDescent="0.25">
      <c r="A386" s="10" t="s">
        <v>307</v>
      </c>
      <c r="B386" s="14" t="s">
        <v>14</v>
      </c>
      <c r="C386" s="14" t="s">
        <v>14</v>
      </c>
      <c r="D386" s="14" t="s">
        <v>14</v>
      </c>
      <c r="E386" s="14" t="s">
        <v>14</v>
      </c>
      <c r="F386" s="14" t="s">
        <v>14</v>
      </c>
      <c r="G386" s="14" t="s">
        <v>14</v>
      </c>
      <c r="H386" s="14" t="s">
        <v>14</v>
      </c>
      <c r="I386" s="14" t="s">
        <v>14</v>
      </c>
      <c r="J386" s="14" t="s">
        <v>14</v>
      </c>
      <c r="K386" s="14" t="s">
        <v>14</v>
      </c>
    </row>
    <row r="387" spans="1:11" x14ac:dyDescent="0.25">
      <c r="A387" s="10" t="s">
        <v>308</v>
      </c>
      <c r="B387" s="14" t="s">
        <v>14</v>
      </c>
      <c r="C387" s="14" t="s">
        <v>14</v>
      </c>
      <c r="D387" s="14" t="s">
        <v>14</v>
      </c>
      <c r="E387" s="14" t="s">
        <v>14</v>
      </c>
      <c r="F387" s="14" t="s">
        <v>14</v>
      </c>
      <c r="G387" s="14" t="s">
        <v>14</v>
      </c>
      <c r="H387" s="14" t="s">
        <v>14</v>
      </c>
      <c r="I387" s="14" t="s">
        <v>14</v>
      </c>
      <c r="J387" s="14" t="s">
        <v>14</v>
      </c>
      <c r="K387" s="14" t="s">
        <v>14</v>
      </c>
    </row>
    <row r="388" spans="1:11" x14ac:dyDescent="0.25">
      <c r="A388" s="10" t="s">
        <v>309</v>
      </c>
      <c r="B388" s="14" t="s">
        <v>14</v>
      </c>
      <c r="C388" s="14" t="s">
        <v>14</v>
      </c>
      <c r="D388" s="14" t="s">
        <v>14</v>
      </c>
      <c r="E388" s="14" t="s">
        <v>14</v>
      </c>
      <c r="F388" s="14" t="s">
        <v>14</v>
      </c>
      <c r="G388" s="14" t="s">
        <v>14</v>
      </c>
      <c r="H388" s="14" t="s">
        <v>14</v>
      </c>
      <c r="I388" s="14" t="s">
        <v>14</v>
      </c>
      <c r="J388" s="14" t="s">
        <v>14</v>
      </c>
      <c r="K388" s="14" t="s">
        <v>14</v>
      </c>
    </row>
    <row r="389" spans="1:11" x14ac:dyDescent="0.25">
      <c r="A389" s="10" t="s">
        <v>310</v>
      </c>
      <c r="B389" s="14" t="s">
        <v>14</v>
      </c>
      <c r="C389" s="14" t="s">
        <v>14</v>
      </c>
      <c r="D389" s="14" t="s">
        <v>14</v>
      </c>
      <c r="E389" s="14" t="s">
        <v>14</v>
      </c>
      <c r="F389" s="14" t="s">
        <v>14</v>
      </c>
      <c r="G389" s="14" t="s">
        <v>14</v>
      </c>
      <c r="H389" s="14" t="s">
        <v>14</v>
      </c>
      <c r="I389" s="14" t="s">
        <v>14</v>
      </c>
      <c r="J389" s="14" t="s">
        <v>14</v>
      </c>
      <c r="K389" s="14" t="s">
        <v>14</v>
      </c>
    </row>
    <row r="390" spans="1:11" x14ac:dyDescent="0.25">
      <c r="A390" s="10" t="s">
        <v>311</v>
      </c>
      <c r="B390" s="14" t="s">
        <v>14</v>
      </c>
      <c r="C390" s="14" t="s">
        <v>14</v>
      </c>
      <c r="D390" s="14" t="s">
        <v>14</v>
      </c>
      <c r="E390" s="14" t="s">
        <v>14</v>
      </c>
      <c r="F390" s="14" t="s">
        <v>14</v>
      </c>
      <c r="G390" s="14" t="s">
        <v>14</v>
      </c>
      <c r="H390" s="14" t="s">
        <v>14</v>
      </c>
      <c r="I390" s="14" t="s">
        <v>14</v>
      </c>
      <c r="J390" s="14" t="s">
        <v>14</v>
      </c>
      <c r="K390" s="14" t="s">
        <v>14</v>
      </c>
    </row>
    <row r="391" spans="1:11" x14ac:dyDescent="0.25">
      <c r="A391" s="10" t="s">
        <v>312</v>
      </c>
      <c r="B391" s="14" t="s">
        <v>14</v>
      </c>
      <c r="C391" s="14" t="s">
        <v>14</v>
      </c>
      <c r="D391" s="14" t="s">
        <v>14</v>
      </c>
      <c r="E391" s="14" t="s">
        <v>14</v>
      </c>
      <c r="F391" s="14" t="s">
        <v>14</v>
      </c>
      <c r="G391" s="14" t="s">
        <v>14</v>
      </c>
      <c r="H391" s="14" t="s">
        <v>14</v>
      </c>
      <c r="I391" s="14" t="s">
        <v>14</v>
      </c>
      <c r="J391" s="14" t="s">
        <v>14</v>
      </c>
      <c r="K391" s="14" t="s">
        <v>14</v>
      </c>
    </row>
    <row r="392" spans="1:11" x14ac:dyDescent="0.25">
      <c r="A392" s="10" t="s">
        <v>313</v>
      </c>
      <c r="B392" s="14" t="s">
        <v>14</v>
      </c>
      <c r="C392" s="14" t="s">
        <v>14</v>
      </c>
      <c r="D392" s="14" t="s">
        <v>14</v>
      </c>
      <c r="E392" s="14" t="s">
        <v>14</v>
      </c>
      <c r="F392" s="14" t="s">
        <v>14</v>
      </c>
      <c r="G392" s="14" t="s">
        <v>14</v>
      </c>
      <c r="H392" s="14" t="s">
        <v>14</v>
      </c>
      <c r="I392" s="14" t="s">
        <v>14</v>
      </c>
      <c r="J392" s="14" t="s">
        <v>14</v>
      </c>
      <c r="K392" s="14" t="s">
        <v>14</v>
      </c>
    </row>
    <row r="393" spans="1:11" x14ac:dyDescent="0.25">
      <c r="A393" s="10" t="s">
        <v>314</v>
      </c>
      <c r="B393" s="14" t="s">
        <v>14</v>
      </c>
      <c r="C393" s="14" t="s">
        <v>14</v>
      </c>
      <c r="D393" s="14" t="s">
        <v>14</v>
      </c>
      <c r="E393" s="14" t="s">
        <v>14</v>
      </c>
      <c r="F393" s="14" t="s">
        <v>14</v>
      </c>
      <c r="G393" s="14" t="s">
        <v>14</v>
      </c>
      <c r="H393" s="14" t="s">
        <v>14</v>
      </c>
      <c r="I393" s="14" t="s">
        <v>14</v>
      </c>
      <c r="J393" s="14" t="s">
        <v>14</v>
      </c>
      <c r="K393" s="14" t="s">
        <v>14</v>
      </c>
    </row>
    <row r="394" spans="1:11" x14ac:dyDescent="0.25">
      <c r="A394" s="10" t="s">
        <v>315</v>
      </c>
      <c r="B394" s="14" t="s">
        <v>14</v>
      </c>
      <c r="C394" s="14" t="s">
        <v>14</v>
      </c>
      <c r="D394" s="14" t="s">
        <v>14</v>
      </c>
      <c r="E394" s="14" t="s">
        <v>14</v>
      </c>
      <c r="F394" s="14" t="s">
        <v>14</v>
      </c>
      <c r="G394" s="14" t="s">
        <v>14</v>
      </c>
      <c r="H394" s="14" t="s">
        <v>14</v>
      </c>
      <c r="I394" s="14" t="s">
        <v>14</v>
      </c>
      <c r="J394" s="14" t="s">
        <v>14</v>
      </c>
      <c r="K394" s="14" t="s">
        <v>14</v>
      </c>
    </row>
    <row r="395" spans="1:11" x14ac:dyDescent="0.25">
      <c r="A395" s="6" t="s">
        <v>316</v>
      </c>
      <c r="B395" s="14" t="s">
        <v>14</v>
      </c>
      <c r="C395" s="14" t="s">
        <v>14</v>
      </c>
      <c r="D395" s="14" t="s">
        <v>14</v>
      </c>
      <c r="E395" s="14" t="s">
        <v>14</v>
      </c>
      <c r="F395" s="14" t="s">
        <v>14</v>
      </c>
      <c r="G395" s="14" t="s">
        <v>14</v>
      </c>
      <c r="H395" s="14" t="s">
        <v>14</v>
      </c>
      <c r="I395" s="14" t="s">
        <v>14</v>
      </c>
      <c r="J395" s="14" t="s">
        <v>14</v>
      </c>
      <c r="K395" s="14" t="s">
        <v>14</v>
      </c>
    </row>
    <row r="396" spans="1:11" x14ac:dyDescent="0.25">
      <c r="A396" s="6" t="s">
        <v>317</v>
      </c>
      <c r="B396" s="14" t="s">
        <v>14</v>
      </c>
      <c r="C396" s="14" t="s">
        <v>14</v>
      </c>
      <c r="D396" s="14" t="s">
        <v>14</v>
      </c>
      <c r="E396" s="14" t="s">
        <v>14</v>
      </c>
      <c r="F396" s="14" t="s">
        <v>14</v>
      </c>
      <c r="G396" s="14" t="s">
        <v>14</v>
      </c>
      <c r="H396" s="14" t="s">
        <v>14</v>
      </c>
      <c r="I396" s="14" t="s">
        <v>14</v>
      </c>
      <c r="J396" s="14" t="s">
        <v>14</v>
      </c>
      <c r="K396" s="14" t="s">
        <v>14</v>
      </c>
    </row>
    <row r="397" spans="1:11" x14ac:dyDescent="0.25">
      <c r="A397" s="8" t="s">
        <v>318</v>
      </c>
      <c r="B397" s="15" t="s">
        <v>14</v>
      </c>
      <c r="C397" s="15" t="s">
        <v>14</v>
      </c>
      <c r="D397" s="15" t="s">
        <v>14</v>
      </c>
      <c r="E397" s="15" t="s">
        <v>14</v>
      </c>
      <c r="F397" s="15" t="s">
        <v>14</v>
      </c>
      <c r="G397" s="15" t="s">
        <v>14</v>
      </c>
      <c r="H397" s="15" t="s">
        <v>14</v>
      </c>
      <c r="I397" s="15" t="s">
        <v>14</v>
      </c>
      <c r="J397" s="15" t="s">
        <v>14</v>
      </c>
      <c r="K397" s="15" t="s">
        <v>14</v>
      </c>
    </row>
    <row r="398" spans="1:11" x14ac:dyDescent="0.25">
      <c r="A398" s="8" t="s">
        <v>226</v>
      </c>
      <c r="B398" s="15" t="s">
        <v>14</v>
      </c>
      <c r="C398" s="15" t="s">
        <v>14</v>
      </c>
      <c r="D398" s="15" t="s">
        <v>14</v>
      </c>
      <c r="E398" s="15" t="s">
        <v>14</v>
      </c>
      <c r="F398" s="15" t="s">
        <v>14</v>
      </c>
      <c r="G398" s="15" t="s">
        <v>14</v>
      </c>
      <c r="H398" s="15" t="s">
        <v>14</v>
      </c>
      <c r="I398" s="15" t="s">
        <v>14</v>
      </c>
      <c r="J398" s="15" t="s">
        <v>14</v>
      </c>
      <c r="K398" s="15" t="s">
        <v>14</v>
      </c>
    </row>
    <row r="399" spans="1:11" x14ac:dyDescent="0.25">
      <c r="A399" s="8" t="s">
        <v>319</v>
      </c>
      <c r="B399" s="15" t="s">
        <v>14</v>
      </c>
      <c r="C399" s="15" t="s">
        <v>14</v>
      </c>
      <c r="D399" s="15" t="s">
        <v>14</v>
      </c>
      <c r="E399" s="15" t="s">
        <v>14</v>
      </c>
      <c r="F399" s="15" t="s">
        <v>14</v>
      </c>
      <c r="G399" s="15" t="s">
        <v>14</v>
      </c>
      <c r="H399" s="15" t="s">
        <v>14</v>
      </c>
      <c r="I399" s="15" t="s">
        <v>14</v>
      </c>
      <c r="J399" s="15" t="s">
        <v>14</v>
      </c>
      <c r="K399" s="15" t="s">
        <v>14</v>
      </c>
    </row>
    <row r="400" spans="1:11" x14ac:dyDescent="0.25">
      <c r="A400" s="8" t="s">
        <v>320</v>
      </c>
      <c r="B400" s="15" t="s">
        <v>14</v>
      </c>
      <c r="C400" s="15" t="s">
        <v>14</v>
      </c>
      <c r="D400" s="15" t="s">
        <v>14</v>
      </c>
      <c r="E400" s="15" t="s">
        <v>14</v>
      </c>
      <c r="F400" s="15" t="s">
        <v>14</v>
      </c>
      <c r="G400" s="15" t="s">
        <v>14</v>
      </c>
      <c r="H400" s="15" t="s">
        <v>14</v>
      </c>
      <c r="I400" s="15" t="s">
        <v>14</v>
      </c>
      <c r="J400" s="15" t="s">
        <v>14</v>
      </c>
      <c r="K400" s="15" t="s">
        <v>14</v>
      </c>
    </row>
    <row r="401" spans="1:11" x14ac:dyDescent="0.25">
      <c r="A401" s="8" t="s">
        <v>321</v>
      </c>
      <c r="B401" s="15" t="s">
        <v>14</v>
      </c>
      <c r="C401" s="15" t="s">
        <v>14</v>
      </c>
      <c r="D401" s="15" t="s">
        <v>14</v>
      </c>
      <c r="E401" s="15" t="s">
        <v>14</v>
      </c>
      <c r="F401" s="15" t="s">
        <v>14</v>
      </c>
      <c r="G401" s="15" t="s">
        <v>14</v>
      </c>
      <c r="H401" s="15" t="s">
        <v>14</v>
      </c>
      <c r="I401" s="15" t="s">
        <v>14</v>
      </c>
      <c r="J401" s="15" t="s">
        <v>14</v>
      </c>
      <c r="K401" s="15" t="s">
        <v>14</v>
      </c>
    </row>
    <row r="402" spans="1:11" x14ac:dyDescent="0.25">
      <c r="A402" s="8" t="s">
        <v>322</v>
      </c>
      <c r="B402" s="15" t="s">
        <v>14</v>
      </c>
      <c r="C402" s="15" t="s">
        <v>14</v>
      </c>
      <c r="D402" s="15" t="s">
        <v>14</v>
      </c>
      <c r="E402" s="15" t="s">
        <v>14</v>
      </c>
      <c r="F402" s="15" t="s">
        <v>14</v>
      </c>
      <c r="G402" s="15" t="s">
        <v>14</v>
      </c>
      <c r="H402" s="15" t="s">
        <v>14</v>
      </c>
      <c r="I402" s="15" t="s">
        <v>14</v>
      </c>
      <c r="J402" s="15" t="s">
        <v>14</v>
      </c>
      <c r="K402" s="15" t="s">
        <v>14</v>
      </c>
    </row>
    <row r="403" spans="1:11" x14ac:dyDescent="0.25">
      <c r="A403" s="8" t="s">
        <v>323</v>
      </c>
      <c r="B403" s="15" t="s">
        <v>14</v>
      </c>
      <c r="C403" s="15" t="s">
        <v>14</v>
      </c>
      <c r="D403" s="15" t="s">
        <v>14</v>
      </c>
      <c r="E403" s="15" t="s">
        <v>14</v>
      </c>
      <c r="F403" s="15" t="s">
        <v>14</v>
      </c>
      <c r="G403" s="15" t="s">
        <v>14</v>
      </c>
      <c r="H403" s="15" t="s">
        <v>14</v>
      </c>
      <c r="I403" s="15" t="s">
        <v>14</v>
      </c>
      <c r="J403" s="15" t="s">
        <v>14</v>
      </c>
      <c r="K403" s="15" t="s">
        <v>14</v>
      </c>
    </row>
    <row r="404" spans="1:11" x14ac:dyDescent="0.25">
      <c r="A404" s="8" t="s">
        <v>324</v>
      </c>
      <c r="B404" s="15" t="s">
        <v>14</v>
      </c>
      <c r="C404" s="15" t="s">
        <v>14</v>
      </c>
      <c r="D404" s="15" t="s">
        <v>14</v>
      </c>
      <c r="E404" s="15" t="s">
        <v>14</v>
      </c>
      <c r="F404" s="15" t="s">
        <v>14</v>
      </c>
      <c r="G404" s="15" t="s">
        <v>14</v>
      </c>
      <c r="H404" s="15" t="s">
        <v>14</v>
      </c>
      <c r="I404" s="15" t="s">
        <v>14</v>
      </c>
      <c r="J404" s="15" t="s">
        <v>14</v>
      </c>
      <c r="K404" s="15" t="s">
        <v>14</v>
      </c>
    </row>
    <row r="405" spans="1:11" x14ac:dyDescent="0.25">
      <c r="A405" s="8" t="s">
        <v>325</v>
      </c>
      <c r="B405" s="15" t="s">
        <v>14</v>
      </c>
      <c r="C405" s="15" t="s">
        <v>14</v>
      </c>
      <c r="D405" s="15" t="s">
        <v>14</v>
      </c>
      <c r="E405" s="15" t="s">
        <v>14</v>
      </c>
      <c r="F405" s="15" t="s">
        <v>14</v>
      </c>
      <c r="G405" s="15" t="s">
        <v>14</v>
      </c>
      <c r="H405" s="15" t="s">
        <v>14</v>
      </c>
      <c r="I405" s="15" t="s">
        <v>14</v>
      </c>
      <c r="J405" s="15" t="s">
        <v>14</v>
      </c>
      <c r="K405" s="15" t="s">
        <v>14</v>
      </c>
    </row>
    <row r="406" spans="1:11" x14ac:dyDescent="0.25">
      <c r="A406" s="8" t="s">
        <v>326</v>
      </c>
      <c r="B406" s="15" t="s">
        <v>14</v>
      </c>
      <c r="C406" s="15" t="s">
        <v>14</v>
      </c>
      <c r="D406" s="15" t="s">
        <v>14</v>
      </c>
      <c r="E406" s="15" t="s">
        <v>14</v>
      </c>
      <c r="F406" s="15" t="s">
        <v>14</v>
      </c>
      <c r="G406" s="15" t="s">
        <v>14</v>
      </c>
      <c r="H406" s="15" t="s">
        <v>14</v>
      </c>
      <c r="I406" s="15" t="s">
        <v>14</v>
      </c>
      <c r="J406" s="15" t="s">
        <v>14</v>
      </c>
      <c r="K406" s="15" t="s">
        <v>14</v>
      </c>
    </row>
    <row r="407" spans="1:11" x14ac:dyDescent="0.25">
      <c r="A407" s="3" t="s">
        <v>327</v>
      </c>
      <c r="B407" s="5" t="s">
        <v>14</v>
      </c>
      <c r="C407" s="5" t="s">
        <v>14</v>
      </c>
      <c r="D407" s="5" t="s">
        <v>14</v>
      </c>
      <c r="E407" s="5" t="s">
        <v>14</v>
      </c>
      <c r="F407" s="5" t="s">
        <v>14</v>
      </c>
      <c r="G407" s="5" t="s">
        <v>14</v>
      </c>
      <c r="H407" s="5" t="s">
        <v>14</v>
      </c>
      <c r="I407" s="5" t="s">
        <v>14</v>
      </c>
      <c r="J407" s="5" t="s">
        <v>14</v>
      </c>
      <c r="K407" s="5" t="s">
        <v>14</v>
      </c>
    </row>
    <row r="408" spans="1:11" x14ac:dyDescent="0.25">
      <c r="A408" s="6" t="s">
        <v>328</v>
      </c>
      <c r="B408" s="14" t="s">
        <v>14</v>
      </c>
      <c r="C408" s="14" t="s">
        <v>14</v>
      </c>
      <c r="D408" s="14" t="s">
        <v>14</v>
      </c>
      <c r="E408" s="14" t="s">
        <v>14</v>
      </c>
      <c r="F408" s="14" t="s">
        <v>14</v>
      </c>
      <c r="G408" s="14" t="s">
        <v>14</v>
      </c>
      <c r="H408" s="14" t="s">
        <v>14</v>
      </c>
      <c r="I408" s="14" t="s">
        <v>14</v>
      </c>
      <c r="J408" s="14" t="s">
        <v>14</v>
      </c>
      <c r="K408" s="14" t="s">
        <v>14</v>
      </c>
    </row>
    <row r="409" spans="1:11" x14ac:dyDescent="0.25">
      <c r="A409" s="8" t="s">
        <v>329</v>
      </c>
      <c r="B409" s="15" t="s">
        <v>14</v>
      </c>
      <c r="C409" s="15" t="s">
        <v>14</v>
      </c>
      <c r="D409" s="15" t="s">
        <v>14</v>
      </c>
      <c r="E409" s="15" t="s">
        <v>14</v>
      </c>
      <c r="F409" s="15" t="s">
        <v>14</v>
      </c>
      <c r="G409" s="15" t="s">
        <v>14</v>
      </c>
      <c r="H409" s="15" t="s">
        <v>14</v>
      </c>
      <c r="I409" s="15" t="s">
        <v>14</v>
      </c>
      <c r="J409" s="15" t="s">
        <v>14</v>
      </c>
      <c r="K409" s="15" t="s">
        <v>14</v>
      </c>
    </row>
    <row r="410" spans="1:11" x14ac:dyDescent="0.25">
      <c r="A410" s="8" t="s">
        <v>330</v>
      </c>
      <c r="B410" s="15" t="s">
        <v>14</v>
      </c>
      <c r="C410" s="15" t="s">
        <v>14</v>
      </c>
      <c r="D410" s="15" t="s">
        <v>14</v>
      </c>
      <c r="E410" s="15" t="s">
        <v>14</v>
      </c>
      <c r="F410" s="15" t="s">
        <v>14</v>
      </c>
      <c r="G410" s="15" t="s">
        <v>14</v>
      </c>
      <c r="H410" s="15" t="s">
        <v>14</v>
      </c>
      <c r="I410" s="15" t="s">
        <v>14</v>
      </c>
      <c r="J410" s="15" t="s">
        <v>14</v>
      </c>
      <c r="K410" s="15" t="s">
        <v>14</v>
      </c>
    </row>
    <row r="411" spans="1:11" x14ac:dyDescent="0.25">
      <c r="A411" s="8" t="s">
        <v>331</v>
      </c>
      <c r="B411" s="15" t="s">
        <v>14</v>
      </c>
      <c r="C411" s="15" t="s">
        <v>14</v>
      </c>
      <c r="D411" s="15" t="s">
        <v>14</v>
      </c>
      <c r="E411" s="15" t="s">
        <v>14</v>
      </c>
      <c r="F411" s="15" t="s">
        <v>14</v>
      </c>
      <c r="G411" s="15" t="s">
        <v>14</v>
      </c>
      <c r="H411" s="15" t="s">
        <v>14</v>
      </c>
      <c r="I411" s="15" t="s">
        <v>14</v>
      </c>
      <c r="J411" s="15" t="s">
        <v>14</v>
      </c>
      <c r="K411" s="15" t="s">
        <v>14</v>
      </c>
    </row>
    <row r="412" spans="1:11" x14ac:dyDescent="0.25">
      <c r="A412" s="6" t="s">
        <v>332</v>
      </c>
      <c r="B412" s="14" t="s">
        <v>14</v>
      </c>
      <c r="C412" s="14" t="s">
        <v>14</v>
      </c>
      <c r="D412" s="14" t="s">
        <v>14</v>
      </c>
      <c r="E412" s="14" t="s">
        <v>14</v>
      </c>
      <c r="F412" s="14" t="s">
        <v>14</v>
      </c>
      <c r="G412" s="14" t="s">
        <v>14</v>
      </c>
      <c r="H412" s="14" t="s">
        <v>14</v>
      </c>
      <c r="I412" s="14" t="s">
        <v>14</v>
      </c>
      <c r="J412" s="14" t="s">
        <v>14</v>
      </c>
      <c r="K412" s="14" t="s">
        <v>14</v>
      </c>
    </row>
    <row r="413" spans="1:11" x14ac:dyDescent="0.25">
      <c r="A413" s="6" t="s">
        <v>333</v>
      </c>
      <c r="B413" s="14" t="s">
        <v>14</v>
      </c>
      <c r="C413" s="14" t="s">
        <v>14</v>
      </c>
      <c r="D413" s="14" t="s">
        <v>14</v>
      </c>
      <c r="E413" s="14" t="s">
        <v>14</v>
      </c>
      <c r="F413" s="14" t="s">
        <v>14</v>
      </c>
      <c r="G413" s="14" t="s">
        <v>14</v>
      </c>
      <c r="H413" s="14" t="s">
        <v>14</v>
      </c>
      <c r="I413" s="14" t="s">
        <v>14</v>
      </c>
      <c r="J413" s="14" t="s">
        <v>14</v>
      </c>
      <c r="K413" s="14" t="s">
        <v>14</v>
      </c>
    </row>
    <row r="414" spans="1:11" x14ac:dyDescent="0.25">
      <c r="A414" s="6" t="s">
        <v>334</v>
      </c>
      <c r="B414" s="14" t="s">
        <v>14</v>
      </c>
      <c r="C414" s="14" t="s">
        <v>14</v>
      </c>
      <c r="D414" s="14" t="s">
        <v>14</v>
      </c>
      <c r="E414" s="14" t="s">
        <v>14</v>
      </c>
      <c r="F414" s="14" t="s">
        <v>14</v>
      </c>
      <c r="G414" s="14" t="s">
        <v>14</v>
      </c>
      <c r="H414" s="14" t="s">
        <v>14</v>
      </c>
      <c r="I414" s="14" t="s">
        <v>14</v>
      </c>
      <c r="J414" s="14" t="s">
        <v>14</v>
      </c>
      <c r="K414" s="14" t="s">
        <v>14</v>
      </c>
    </row>
    <row r="415" spans="1:11" x14ac:dyDescent="0.25">
      <c r="A415" s="6" t="s">
        <v>335</v>
      </c>
      <c r="B415" s="14" t="s">
        <v>14</v>
      </c>
      <c r="C415" s="14" t="s">
        <v>14</v>
      </c>
      <c r="D415" s="14" t="s">
        <v>14</v>
      </c>
      <c r="E415" s="14" t="s">
        <v>14</v>
      </c>
      <c r="F415" s="14" t="s">
        <v>14</v>
      </c>
      <c r="G415" s="14" t="s">
        <v>14</v>
      </c>
      <c r="H415" s="14" t="s">
        <v>14</v>
      </c>
      <c r="I415" s="14" t="s">
        <v>14</v>
      </c>
      <c r="J415" s="14" t="s">
        <v>14</v>
      </c>
      <c r="K415" s="14" t="s">
        <v>14</v>
      </c>
    </row>
    <row r="416" spans="1:11" x14ac:dyDescent="0.25">
      <c r="A416" s="6" t="s">
        <v>336</v>
      </c>
      <c r="B416" s="14" t="s">
        <v>14</v>
      </c>
      <c r="C416" s="14" t="s">
        <v>14</v>
      </c>
      <c r="D416" s="14" t="s">
        <v>14</v>
      </c>
      <c r="E416" s="14" t="s">
        <v>14</v>
      </c>
      <c r="F416" s="14" t="s">
        <v>14</v>
      </c>
      <c r="G416" s="14" t="s">
        <v>14</v>
      </c>
      <c r="H416" s="14" t="s">
        <v>14</v>
      </c>
      <c r="I416" s="14" t="s">
        <v>14</v>
      </c>
      <c r="J416" s="14" t="s">
        <v>14</v>
      </c>
      <c r="K416" s="14" t="s">
        <v>14</v>
      </c>
    </row>
    <row r="417" spans="1:11" x14ac:dyDescent="0.25">
      <c r="A417" s="6" t="s">
        <v>337</v>
      </c>
      <c r="B417" s="14" t="s">
        <v>14</v>
      </c>
      <c r="C417" s="14" t="s">
        <v>14</v>
      </c>
      <c r="D417" s="14" t="s">
        <v>14</v>
      </c>
      <c r="E417" s="14" t="s">
        <v>14</v>
      </c>
      <c r="F417" s="14" t="s">
        <v>14</v>
      </c>
      <c r="G417" s="14" t="s">
        <v>14</v>
      </c>
      <c r="H417" s="14" t="s">
        <v>14</v>
      </c>
      <c r="I417" s="14" t="s">
        <v>14</v>
      </c>
      <c r="J417" s="14" t="s">
        <v>14</v>
      </c>
      <c r="K417" s="14" t="s">
        <v>14</v>
      </c>
    </row>
    <row r="418" spans="1:11" x14ac:dyDescent="0.25">
      <c r="A418" s="6" t="s">
        <v>338</v>
      </c>
      <c r="B418" s="14" t="s">
        <v>14</v>
      </c>
      <c r="C418" s="14" t="s">
        <v>14</v>
      </c>
      <c r="D418" s="14" t="s">
        <v>14</v>
      </c>
      <c r="E418" s="14" t="s">
        <v>14</v>
      </c>
      <c r="F418" s="14" t="s">
        <v>14</v>
      </c>
      <c r="G418" s="14" t="s">
        <v>14</v>
      </c>
      <c r="H418" s="14" t="s">
        <v>14</v>
      </c>
      <c r="I418" s="14" t="s">
        <v>14</v>
      </c>
      <c r="J418" s="14" t="s">
        <v>14</v>
      </c>
      <c r="K418" s="14" t="s">
        <v>14</v>
      </c>
    </row>
    <row r="419" spans="1:11" x14ac:dyDescent="0.25">
      <c r="A419" s="6" t="s">
        <v>339</v>
      </c>
      <c r="B419" s="14" t="s">
        <v>14</v>
      </c>
      <c r="C419" s="14" t="s">
        <v>14</v>
      </c>
      <c r="D419" s="14" t="s">
        <v>14</v>
      </c>
      <c r="E419" s="14" t="s">
        <v>14</v>
      </c>
      <c r="F419" s="14" t="s">
        <v>14</v>
      </c>
      <c r="G419" s="14" t="s">
        <v>14</v>
      </c>
      <c r="H419" s="14" t="s">
        <v>14</v>
      </c>
      <c r="I419" s="14" t="s">
        <v>14</v>
      </c>
      <c r="J419" s="14" t="s">
        <v>14</v>
      </c>
      <c r="K419" s="14" t="s">
        <v>14</v>
      </c>
    </row>
    <row r="420" spans="1:11" x14ac:dyDescent="0.25">
      <c r="A420" s="6" t="s">
        <v>340</v>
      </c>
      <c r="B420" s="14" t="s">
        <v>14</v>
      </c>
      <c r="C420" s="14" t="s">
        <v>14</v>
      </c>
      <c r="D420" s="14" t="s">
        <v>14</v>
      </c>
      <c r="E420" s="14" t="s">
        <v>14</v>
      </c>
      <c r="F420" s="14" t="s">
        <v>14</v>
      </c>
      <c r="G420" s="14" t="s">
        <v>14</v>
      </c>
      <c r="H420" s="14" t="s">
        <v>14</v>
      </c>
      <c r="I420" s="14" t="s">
        <v>14</v>
      </c>
      <c r="J420" s="14" t="s">
        <v>14</v>
      </c>
      <c r="K420" s="14" t="s">
        <v>14</v>
      </c>
    </row>
    <row r="421" spans="1:11" x14ac:dyDescent="0.25">
      <c r="A421" s="6" t="s">
        <v>341</v>
      </c>
      <c r="B421" s="14" t="s">
        <v>14</v>
      </c>
      <c r="C421" s="14" t="s">
        <v>14</v>
      </c>
      <c r="D421" s="14" t="s">
        <v>14</v>
      </c>
      <c r="E421" s="14" t="s">
        <v>14</v>
      </c>
      <c r="F421" s="14" t="s">
        <v>14</v>
      </c>
      <c r="G421" s="14" t="s">
        <v>14</v>
      </c>
      <c r="H421" s="14" t="s">
        <v>14</v>
      </c>
      <c r="I421" s="14" t="s">
        <v>14</v>
      </c>
      <c r="J421" s="14" t="s">
        <v>14</v>
      </c>
      <c r="K421" s="14" t="s">
        <v>14</v>
      </c>
    </row>
    <row r="422" spans="1:11" x14ac:dyDescent="0.25">
      <c r="A422" s="3" t="s">
        <v>342</v>
      </c>
      <c r="B422" s="5" t="s">
        <v>14</v>
      </c>
      <c r="C422" s="5" t="s">
        <v>14</v>
      </c>
      <c r="D422" s="5" t="s">
        <v>14</v>
      </c>
      <c r="E422" s="5" t="s">
        <v>14</v>
      </c>
      <c r="F422" s="5" t="s">
        <v>14</v>
      </c>
      <c r="G422" s="5" t="s">
        <v>14</v>
      </c>
      <c r="H422" s="5" t="s">
        <v>14</v>
      </c>
      <c r="I422" s="5" t="s">
        <v>14</v>
      </c>
      <c r="J422" s="5" t="s">
        <v>14</v>
      </c>
      <c r="K422" s="5" t="s">
        <v>14</v>
      </c>
    </row>
    <row r="423" spans="1:11" x14ac:dyDescent="0.25">
      <c r="A423" s="3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x14ac:dyDescent="0.25">
      <c r="A424" s="3" t="s">
        <v>343</v>
      </c>
      <c r="B424" s="5" t="s">
        <v>2</v>
      </c>
      <c r="C424" s="5" t="s">
        <v>2</v>
      </c>
      <c r="D424" s="5" t="s">
        <v>2</v>
      </c>
      <c r="E424" s="5" t="s">
        <v>2</v>
      </c>
      <c r="F424" s="5" t="s">
        <v>2</v>
      </c>
      <c r="G424" s="5" t="s">
        <v>2</v>
      </c>
      <c r="H424" s="5" t="s">
        <v>2</v>
      </c>
      <c r="I424" s="5" t="s">
        <v>2</v>
      </c>
      <c r="J424" s="5" t="s">
        <v>2</v>
      </c>
      <c r="K424" s="5" t="s">
        <v>2</v>
      </c>
    </row>
    <row r="425" spans="1:11" x14ac:dyDescent="0.25">
      <c r="A425" s="3" t="s">
        <v>344</v>
      </c>
      <c r="B425" s="7">
        <v>94578000</v>
      </c>
      <c r="C425" s="7">
        <v>94579000</v>
      </c>
      <c r="D425" s="7">
        <v>94613000</v>
      </c>
      <c r="E425" s="7">
        <v>94597000</v>
      </c>
      <c r="F425" s="7">
        <v>94597000</v>
      </c>
      <c r="G425" s="7">
        <v>137833000</v>
      </c>
      <c r="H425" s="7">
        <v>149351000</v>
      </c>
      <c r="I425" s="7">
        <v>152365000</v>
      </c>
      <c r="J425" s="7">
        <v>152365000</v>
      </c>
      <c r="K425" s="7">
        <v>152370000</v>
      </c>
    </row>
    <row r="426" spans="1:11" x14ac:dyDescent="0.25">
      <c r="A426" s="3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x14ac:dyDescent="0.25">
      <c r="A427" s="3" t="s">
        <v>1</v>
      </c>
      <c r="B427" s="5" t="s">
        <v>2</v>
      </c>
      <c r="C427" s="5" t="s">
        <v>2</v>
      </c>
      <c r="D427" s="5" t="s">
        <v>2</v>
      </c>
      <c r="E427" s="5" t="s">
        <v>2</v>
      </c>
      <c r="F427" s="5" t="s">
        <v>2</v>
      </c>
      <c r="G427" s="5" t="s">
        <v>2</v>
      </c>
      <c r="H427" s="5" t="s">
        <v>2</v>
      </c>
      <c r="I427" s="5" t="s">
        <v>2</v>
      </c>
      <c r="J427" s="5" t="s">
        <v>2</v>
      </c>
      <c r="K427" s="5" t="s">
        <v>2</v>
      </c>
    </row>
    <row r="428" spans="1:11" x14ac:dyDescent="0.25">
      <c r="A428" s="3" t="s">
        <v>345</v>
      </c>
      <c r="B428" s="16">
        <v>41090</v>
      </c>
      <c r="C428" s="16">
        <v>41455</v>
      </c>
      <c r="D428" s="16">
        <v>41820</v>
      </c>
      <c r="E428" s="16">
        <v>42185</v>
      </c>
      <c r="F428" s="16">
        <v>42551</v>
      </c>
      <c r="G428" s="16">
        <v>42916</v>
      </c>
      <c r="H428" s="16">
        <v>43281</v>
      </c>
      <c r="I428" s="16">
        <v>43646</v>
      </c>
      <c r="J428" s="16">
        <v>44012</v>
      </c>
      <c r="K428" s="16">
        <v>44377</v>
      </c>
    </row>
    <row r="429" spans="1:11" x14ac:dyDescent="0.25">
      <c r="A429" s="3" t="s">
        <v>346</v>
      </c>
      <c r="B429" s="16">
        <v>41090</v>
      </c>
      <c r="C429" s="16">
        <v>41455</v>
      </c>
      <c r="D429" s="16">
        <v>41820</v>
      </c>
      <c r="E429" s="16">
        <v>42185</v>
      </c>
      <c r="F429" s="16">
        <v>42551</v>
      </c>
      <c r="G429" s="16">
        <v>42916</v>
      </c>
      <c r="H429" s="16">
        <v>43281</v>
      </c>
      <c r="I429" s="16">
        <v>43646</v>
      </c>
      <c r="J429" s="16">
        <v>44012</v>
      </c>
      <c r="K429" s="16">
        <v>44377</v>
      </c>
    </row>
    <row r="430" spans="1:11" x14ac:dyDescent="0.25">
      <c r="A430" s="3" t="s">
        <v>347</v>
      </c>
      <c r="B430" s="16">
        <v>41135</v>
      </c>
      <c r="C430" s="16">
        <v>41500</v>
      </c>
      <c r="D430" s="16">
        <v>41857</v>
      </c>
      <c r="E430" s="16">
        <v>42222</v>
      </c>
      <c r="F430" s="16">
        <v>42586</v>
      </c>
      <c r="G430" s="16">
        <v>42957</v>
      </c>
      <c r="H430" s="16">
        <v>43321</v>
      </c>
      <c r="I430" s="16">
        <v>43683</v>
      </c>
      <c r="J430" s="16">
        <v>44056</v>
      </c>
      <c r="K430" s="16">
        <v>44419</v>
      </c>
    </row>
    <row r="431" spans="1:11" x14ac:dyDescent="0.25">
      <c r="A431" s="3" t="s">
        <v>348</v>
      </c>
      <c r="B431" s="16">
        <v>42774</v>
      </c>
      <c r="C431" s="16">
        <v>42774</v>
      </c>
      <c r="D431" s="16">
        <v>42774</v>
      </c>
      <c r="E431" s="16">
        <v>42774</v>
      </c>
      <c r="F431" s="16">
        <v>42774</v>
      </c>
      <c r="G431" s="16">
        <v>42958</v>
      </c>
      <c r="H431" s="16">
        <v>43329</v>
      </c>
      <c r="I431" s="16">
        <v>43683</v>
      </c>
      <c r="J431" s="16">
        <v>44056</v>
      </c>
      <c r="K431" s="16">
        <v>44420</v>
      </c>
    </row>
    <row r="432" spans="1:11" x14ac:dyDescent="0.25">
      <c r="A432" s="3" t="s">
        <v>349</v>
      </c>
      <c r="B432" s="5" t="s">
        <v>350</v>
      </c>
      <c r="C432" s="5" t="s">
        <v>350</v>
      </c>
      <c r="D432" s="5" t="s">
        <v>350</v>
      </c>
      <c r="E432" s="5" t="s">
        <v>350</v>
      </c>
      <c r="F432" s="5" t="s">
        <v>350</v>
      </c>
      <c r="G432" s="5" t="s">
        <v>350</v>
      </c>
      <c r="H432" s="5" t="s">
        <v>350</v>
      </c>
      <c r="I432" s="5" t="s">
        <v>350</v>
      </c>
      <c r="J432" s="5" t="s">
        <v>350</v>
      </c>
      <c r="K432" s="5" t="s">
        <v>350</v>
      </c>
    </row>
    <row r="433" spans="1:11" x14ac:dyDescent="0.25">
      <c r="A433" s="3" t="s">
        <v>351</v>
      </c>
      <c r="B433" s="5" t="s">
        <v>352</v>
      </c>
      <c r="C433" s="5" t="s">
        <v>352</v>
      </c>
      <c r="D433" s="5" t="s">
        <v>352</v>
      </c>
      <c r="E433" s="5" t="s">
        <v>352</v>
      </c>
      <c r="F433" s="5" t="s">
        <v>352</v>
      </c>
      <c r="G433" s="5" t="s">
        <v>352</v>
      </c>
      <c r="H433" s="5" t="s">
        <v>352</v>
      </c>
      <c r="I433" s="5" t="s">
        <v>352</v>
      </c>
      <c r="J433" s="5" t="s">
        <v>352</v>
      </c>
      <c r="K433" s="5" t="s">
        <v>352</v>
      </c>
    </row>
    <row r="434" spans="1:11" x14ac:dyDescent="0.25">
      <c r="A434" s="3" t="s">
        <v>3</v>
      </c>
      <c r="B434" s="5" t="s">
        <v>4</v>
      </c>
      <c r="C434" s="5" t="s">
        <v>4</v>
      </c>
      <c r="D434" s="5" t="s">
        <v>4</v>
      </c>
      <c r="E434" s="5" t="s">
        <v>4</v>
      </c>
      <c r="F434" s="5" t="s">
        <v>4</v>
      </c>
      <c r="G434" s="5" t="s">
        <v>4</v>
      </c>
      <c r="H434" s="5" t="s">
        <v>4</v>
      </c>
      <c r="I434" s="5" t="s">
        <v>4</v>
      </c>
      <c r="J434" s="5" t="s">
        <v>4</v>
      </c>
      <c r="K434" s="5" t="s">
        <v>4</v>
      </c>
    </row>
    <row r="435" spans="1:11" x14ac:dyDescent="0.25">
      <c r="A435" s="3" t="s">
        <v>353</v>
      </c>
      <c r="B435" s="5" t="s">
        <v>354</v>
      </c>
      <c r="C435" s="5" t="s">
        <v>354</v>
      </c>
      <c r="D435" s="5" t="s">
        <v>354</v>
      </c>
      <c r="E435" s="5" t="s">
        <v>354</v>
      </c>
      <c r="F435" s="5" t="s">
        <v>354</v>
      </c>
      <c r="G435" s="5" t="s">
        <v>354</v>
      </c>
      <c r="H435" s="5" t="s">
        <v>354</v>
      </c>
      <c r="I435" s="5" t="s">
        <v>354</v>
      </c>
      <c r="J435" s="5" t="s">
        <v>354</v>
      </c>
      <c r="K435" s="5" t="s">
        <v>354</v>
      </c>
    </row>
    <row r="436" spans="1:11" x14ac:dyDescent="0.25">
      <c r="A436" s="3" t="s">
        <v>355</v>
      </c>
      <c r="B436" s="5" t="s">
        <v>356</v>
      </c>
      <c r="C436" s="5" t="s">
        <v>356</v>
      </c>
      <c r="D436" s="5" t="s">
        <v>356</v>
      </c>
      <c r="E436" s="5" t="s">
        <v>356</v>
      </c>
      <c r="F436" s="5" t="s">
        <v>356</v>
      </c>
      <c r="G436" s="5" t="s">
        <v>356</v>
      </c>
      <c r="H436" s="5" t="s">
        <v>356</v>
      </c>
      <c r="I436" s="5" t="s">
        <v>356</v>
      </c>
      <c r="J436" s="5" t="s">
        <v>356</v>
      </c>
      <c r="K436" s="5" t="s">
        <v>356</v>
      </c>
    </row>
  </sheetData>
  <pageMargins left="0.7" right="0.7" top="0.75" bottom="0.75" header="0.3" footer="0.3"/>
  <pageSetup paperSize="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workbookViewId="0">
      <pane xSplit="1" ySplit="4" topLeftCell="B5" activePane="bottomRight" state="frozen"/>
      <selection pane="topRight"/>
      <selection pane="bottomLeft"/>
      <selection pane="bottomRight" activeCell="B22" sqref="B22"/>
    </sheetView>
  </sheetViews>
  <sheetFormatPr defaultRowHeight="15" x14ac:dyDescent="0.25"/>
  <cols>
    <col min="1" max="1" width="24" customWidth="1"/>
    <col min="2" max="11" width="15.7109375" customWidth="1"/>
  </cols>
  <sheetData>
    <row r="1" spans="1:11" x14ac:dyDescent="0.25">
      <c r="A1" s="17" t="s">
        <v>357</v>
      </c>
      <c r="K1" s="1" t="s">
        <v>359</v>
      </c>
    </row>
    <row r="2" spans="1:11" x14ac:dyDescent="0.25">
      <c r="A2" s="17" t="s">
        <v>358</v>
      </c>
    </row>
    <row r="4" spans="1:11" x14ac:dyDescent="0.25">
      <c r="A4" s="2" t="s">
        <v>0</v>
      </c>
      <c r="B4" s="4">
        <v>43555</v>
      </c>
      <c r="C4" s="4">
        <v>43646</v>
      </c>
      <c r="D4" s="4">
        <v>43738</v>
      </c>
      <c r="E4" s="4">
        <v>43830</v>
      </c>
      <c r="F4" s="4">
        <v>43921</v>
      </c>
      <c r="G4" s="4">
        <v>44012</v>
      </c>
      <c r="H4" s="4">
        <v>44104</v>
      </c>
      <c r="I4" s="4">
        <v>44196</v>
      </c>
      <c r="J4" s="4">
        <v>44286</v>
      </c>
      <c r="K4" s="4">
        <v>44377</v>
      </c>
    </row>
    <row r="5" spans="1:11" x14ac:dyDescent="0.25">
      <c r="A5" s="3" t="s">
        <v>1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</row>
    <row r="6" spans="1:11" x14ac:dyDescent="0.25">
      <c r="A6" s="3" t="s">
        <v>3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</row>
    <row r="7" spans="1:11" x14ac:dyDescent="0.25">
      <c r="A7" s="3" t="s">
        <v>5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</row>
    <row r="8" spans="1:1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3" t="s">
        <v>7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</row>
    <row r="10" spans="1:11" x14ac:dyDescent="0.25">
      <c r="A10" s="3" t="s">
        <v>8</v>
      </c>
      <c r="B10" s="7">
        <v>9440143000</v>
      </c>
      <c r="C10" s="7">
        <v>9236750000</v>
      </c>
      <c r="D10" s="7">
        <v>10022525000</v>
      </c>
      <c r="E10" s="7">
        <v>9375411000</v>
      </c>
      <c r="F10" s="7">
        <v>11717177000</v>
      </c>
      <c r="G10" s="7">
        <v>11892587000</v>
      </c>
      <c r="H10" s="7">
        <v>13010400000</v>
      </c>
      <c r="I10" s="7">
        <v>12411803000</v>
      </c>
      <c r="J10" s="7">
        <v>13652232000</v>
      </c>
      <c r="K10" s="7">
        <v>13203278000</v>
      </c>
    </row>
    <row r="11" spans="1:11" x14ac:dyDescent="0.25">
      <c r="A11" s="6" t="s">
        <v>9</v>
      </c>
      <c r="B11" s="9">
        <v>3799311000</v>
      </c>
      <c r="C11" s="9">
        <v>3616236000</v>
      </c>
      <c r="D11" s="9">
        <v>3976211000</v>
      </c>
      <c r="E11" s="9">
        <v>3357621000</v>
      </c>
      <c r="F11" s="9">
        <v>4526247000</v>
      </c>
      <c r="G11" s="9">
        <v>4372292000</v>
      </c>
      <c r="H11" s="9">
        <v>5278408000</v>
      </c>
      <c r="I11" s="9">
        <v>5161926000</v>
      </c>
      <c r="J11" s="9">
        <v>6054354000</v>
      </c>
      <c r="K11" s="9">
        <v>6208374000</v>
      </c>
    </row>
    <row r="12" spans="1:11" x14ac:dyDescent="0.25">
      <c r="A12" s="8" t="s">
        <v>10</v>
      </c>
      <c r="B12" s="11">
        <v>435074000</v>
      </c>
      <c r="C12" s="11">
        <v>353039000</v>
      </c>
      <c r="D12" s="11">
        <v>671381000</v>
      </c>
      <c r="E12" s="11">
        <v>646137000</v>
      </c>
      <c r="F12" s="11">
        <v>1133921000</v>
      </c>
      <c r="G12" s="11">
        <v>1392574000</v>
      </c>
      <c r="H12" s="11">
        <v>1641643000</v>
      </c>
      <c r="I12" s="11">
        <v>1605439000</v>
      </c>
      <c r="J12" s="11">
        <v>1508930000</v>
      </c>
      <c r="K12" s="11">
        <v>1355258000</v>
      </c>
    </row>
    <row r="13" spans="1:11" x14ac:dyDescent="0.25">
      <c r="A13" s="8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x14ac:dyDescent="0.25">
      <c r="A14" s="10" t="s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12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13" t="s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1" x14ac:dyDescent="0.25">
      <c r="A17" s="13" t="s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1" x14ac:dyDescent="0.25">
      <c r="A18" s="13" t="s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1" x14ac:dyDescent="0.25">
      <c r="A19" s="12" t="s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5">
      <c r="A20" s="10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 x14ac:dyDescent="0.25">
      <c r="A21" s="8" t="s">
        <v>20</v>
      </c>
      <c r="B21" s="11">
        <v>1502342000</v>
      </c>
      <c r="C21" s="11">
        <v>1479216000</v>
      </c>
      <c r="D21" s="11">
        <v>1440886000</v>
      </c>
      <c r="E21" s="11">
        <v>1029650000</v>
      </c>
      <c r="F21" s="11">
        <v>1323161000</v>
      </c>
      <c r="G21" s="11">
        <v>966336000</v>
      </c>
      <c r="H21" s="11">
        <v>1528126000</v>
      </c>
      <c r="I21" s="11">
        <v>1405954000</v>
      </c>
      <c r="J21" s="11">
        <v>1824896000</v>
      </c>
      <c r="K21" s="11">
        <v>1749006000</v>
      </c>
    </row>
    <row r="22" spans="1:11" x14ac:dyDescent="0.25">
      <c r="A22" s="10" t="s">
        <v>21</v>
      </c>
      <c r="B22" s="9">
        <v>1502342000</v>
      </c>
      <c r="C22" s="9">
        <v>1479216000</v>
      </c>
      <c r="D22" s="9">
        <v>1440886000</v>
      </c>
      <c r="E22" s="9">
        <v>1029650000</v>
      </c>
      <c r="F22" s="9">
        <v>1323161000</v>
      </c>
      <c r="G22" s="9">
        <v>966336000</v>
      </c>
      <c r="H22" s="9">
        <v>1528126000</v>
      </c>
      <c r="I22" s="9">
        <v>1405954000</v>
      </c>
      <c r="J22" s="9">
        <v>1824896000</v>
      </c>
      <c r="K22" s="9">
        <v>1749006000</v>
      </c>
    </row>
    <row r="23" spans="1:11" x14ac:dyDescent="0.25">
      <c r="A23" s="10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 x14ac:dyDescent="0.25">
      <c r="A24" s="8" t="s">
        <v>23</v>
      </c>
      <c r="B24" s="11">
        <v>1517728000</v>
      </c>
      <c r="C24" s="11">
        <v>1399921000</v>
      </c>
      <c r="D24" s="11">
        <v>1417784000</v>
      </c>
      <c r="E24" s="11">
        <v>1328470000</v>
      </c>
      <c r="F24" s="11">
        <v>1698388000</v>
      </c>
      <c r="G24" s="11">
        <v>1659113000</v>
      </c>
      <c r="H24" s="11">
        <v>1717282000</v>
      </c>
      <c r="I24" s="11">
        <v>1748497000</v>
      </c>
      <c r="J24" s="11">
        <v>2200098000</v>
      </c>
      <c r="K24" s="11">
        <v>2474865000</v>
      </c>
    </row>
    <row r="25" spans="1:11" x14ac:dyDescent="0.25">
      <c r="A25" s="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x14ac:dyDescent="0.25">
      <c r="A26" s="8" t="s">
        <v>25</v>
      </c>
      <c r="B26" s="11">
        <v>228744000</v>
      </c>
      <c r="C26" s="11">
        <v>252380000</v>
      </c>
      <c r="D26" s="11">
        <v>308369000</v>
      </c>
      <c r="E26" s="11">
        <v>223589000</v>
      </c>
      <c r="F26" s="11">
        <v>213089000</v>
      </c>
      <c r="G26" s="11">
        <v>200080000</v>
      </c>
      <c r="H26" s="11">
        <v>216022000</v>
      </c>
      <c r="I26" s="11">
        <v>239884000</v>
      </c>
      <c r="J26" s="11">
        <v>314949000</v>
      </c>
      <c r="K26" s="11">
        <v>392709000</v>
      </c>
    </row>
    <row r="27" spans="1:11" x14ac:dyDescent="0.25">
      <c r="A27" s="10" t="s">
        <v>26</v>
      </c>
      <c r="B27" s="9">
        <v>228744000</v>
      </c>
      <c r="C27" s="9">
        <v>252380000</v>
      </c>
      <c r="D27" s="9">
        <v>308369000</v>
      </c>
      <c r="E27" s="9">
        <v>223589000</v>
      </c>
      <c r="F27" s="9">
        <v>213089000</v>
      </c>
      <c r="G27" s="9">
        <v>200080000</v>
      </c>
      <c r="H27" s="9">
        <v>216022000</v>
      </c>
      <c r="I27" s="9">
        <v>239884000</v>
      </c>
      <c r="J27" s="9">
        <v>314949000</v>
      </c>
      <c r="K27" s="9">
        <v>392709000</v>
      </c>
    </row>
    <row r="28" spans="1:11" x14ac:dyDescent="0.25">
      <c r="A28" s="8" t="s">
        <v>27</v>
      </c>
      <c r="B28" s="11">
        <v>27177000</v>
      </c>
      <c r="C28" s="11">
        <v>25991000</v>
      </c>
      <c r="D28" s="11">
        <v>23565000</v>
      </c>
      <c r="E28" s="11">
        <v>20210000</v>
      </c>
      <c r="F28" s="11">
        <v>46607000</v>
      </c>
      <c r="G28" s="11">
        <v>48608000</v>
      </c>
      <c r="H28" s="11">
        <v>50855000</v>
      </c>
      <c r="I28" s="11">
        <v>49145000</v>
      </c>
      <c r="J28" s="11">
        <v>55688000</v>
      </c>
      <c r="K28" s="11">
        <v>55849000</v>
      </c>
    </row>
    <row r="29" spans="1:11" x14ac:dyDescent="0.25">
      <c r="A29" s="8" t="s">
        <v>28</v>
      </c>
      <c r="B29" s="11">
        <v>88246000</v>
      </c>
      <c r="C29" s="11">
        <v>105689000</v>
      </c>
      <c r="D29" s="11">
        <v>114226000</v>
      </c>
      <c r="E29" s="11">
        <v>109565000</v>
      </c>
      <c r="F29" s="11">
        <v>111081000</v>
      </c>
      <c r="G29" s="11">
        <v>105581000</v>
      </c>
      <c r="H29" s="11">
        <v>124480000</v>
      </c>
      <c r="I29" s="11">
        <v>113007000</v>
      </c>
      <c r="J29" s="11">
        <v>149793000</v>
      </c>
      <c r="K29" s="11">
        <v>180687000</v>
      </c>
    </row>
    <row r="30" spans="1:11" x14ac:dyDescent="0.25">
      <c r="A30" s="10" t="s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 x14ac:dyDescent="0.25">
      <c r="A31" s="10" t="s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 x14ac:dyDescent="0.25">
      <c r="A32" s="10" t="s">
        <v>31</v>
      </c>
      <c r="B32" s="9">
        <v>88246000</v>
      </c>
      <c r="C32" s="9">
        <v>105689000</v>
      </c>
      <c r="D32" s="9">
        <v>114226000</v>
      </c>
      <c r="E32" s="9">
        <v>109565000</v>
      </c>
      <c r="F32" s="9">
        <v>111081000</v>
      </c>
      <c r="G32" s="9">
        <v>105581000</v>
      </c>
      <c r="H32" s="9">
        <v>124480000</v>
      </c>
      <c r="I32" s="9">
        <v>113007000</v>
      </c>
      <c r="J32" s="9">
        <v>149793000</v>
      </c>
      <c r="K32" s="9">
        <v>180687000</v>
      </c>
    </row>
    <row r="33" spans="1:11" x14ac:dyDescent="0.25">
      <c r="A33" s="6" t="s">
        <v>32</v>
      </c>
      <c r="B33" s="9">
        <v>5640832000</v>
      </c>
      <c r="C33" s="9">
        <v>5620514000</v>
      </c>
      <c r="D33" s="9">
        <v>6046314000</v>
      </c>
      <c r="E33" s="9">
        <v>6017790000</v>
      </c>
      <c r="F33" s="9">
        <v>7190930000</v>
      </c>
      <c r="G33" s="9">
        <v>7520295000</v>
      </c>
      <c r="H33" s="9">
        <v>7731992000</v>
      </c>
      <c r="I33" s="9">
        <v>7249877000</v>
      </c>
      <c r="J33" s="9">
        <v>7597878000</v>
      </c>
      <c r="K33" s="9">
        <v>6994904000</v>
      </c>
    </row>
    <row r="34" spans="1:11" x14ac:dyDescent="0.25">
      <c r="A34" s="8" t="s">
        <v>33</v>
      </c>
      <c r="B34" s="11">
        <v>440158000</v>
      </c>
      <c r="C34" s="11">
        <v>454774000</v>
      </c>
      <c r="D34" s="11">
        <v>541286000</v>
      </c>
      <c r="E34" s="11">
        <v>538299000</v>
      </c>
      <c r="F34" s="11">
        <v>575854000</v>
      </c>
      <c r="G34" s="11">
        <v>656068000</v>
      </c>
      <c r="H34" s="11">
        <v>676259000</v>
      </c>
      <c r="I34" s="11">
        <v>629630000</v>
      </c>
      <c r="J34" s="11">
        <v>621429000</v>
      </c>
      <c r="K34" s="11">
        <v>765840000</v>
      </c>
    </row>
    <row r="35" spans="1:11" x14ac:dyDescent="0.25">
      <c r="A35" s="10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</row>
    <row r="36" spans="1:11" x14ac:dyDescent="0.25">
      <c r="A36" s="12" t="s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5">
      <c r="A37" s="13" t="s">
        <v>36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</row>
    <row r="38" spans="1:11" x14ac:dyDescent="0.25">
      <c r="A38" s="13" t="s">
        <v>17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</row>
    <row r="39" spans="1:11" x14ac:dyDescent="0.25">
      <c r="A39" s="12" t="s">
        <v>37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5">
      <c r="A40" s="10" t="s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1:11" x14ac:dyDescent="0.25">
      <c r="A41" s="10" t="s">
        <v>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</row>
    <row r="42" spans="1:11" x14ac:dyDescent="0.25">
      <c r="A42" s="12" t="s">
        <v>40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12" t="s">
        <v>41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5">
      <c r="A44" s="10" t="s">
        <v>42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</row>
    <row r="45" spans="1:11" x14ac:dyDescent="0.25">
      <c r="A45" s="10" t="s">
        <v>43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1" x14ac:dyDescent="0.25">
      <c r="A46" s="10" t="s">
        <v>44</v>
      </c>
      <c r="B46" s="9">
        <v>312586000</v>
      </c>
      <c r="C46" s="9">
        <v>328681000</v>
      </c>
      <c r="D46" s="9">
        <v>324220000</v>
      </c>
      <c r="E46" s="9">
        <v>306628000</v>
      </c>
      <c r="F46" s="9">
        <v>360681000</v>
      </c>
      <c r="G46" s="9">
        <v>444780000</v>
      </c>
      <c r="H46" s="9">
        <v>465290000</v>
      </c>
      <c r="I46" s="9">
        <v>419156000</v>
      </c>
      <c r="J46" s="9">
        <v>410705000</v>
      </c>
      <c r="K46" s="9">
        <v>355525000</v>
      </c>
    </row>
    <row r="47" spans="1:11" x14ac:dyDescent="0.25">
      <c r="A47" s="12" t="s">
        <v>45</v>
      </c>
      <c r="B47" s="7">
        <v>312586000</v>
      </c>
      <c r="C47" s="7">
        <v>328681000</v>
      </c>
      <c r="D47" s="7">
        <v>324220000</v>
      </c>
      <c r="E47" s="7">
        <v>306628000</v>
      </c>
      <c r="F47" s="7">
        <v>360681000</v>
      </c>
      <c r="G47" s="7">
        <v>444780000</v>
      </c>
      <c r="H47" s="7">
        <v>465290000</v>
      </c>
      <c r="I47" s="7">
        <v>419156000</v>
      </c>
      <c r="J47" s="7">
        <v>410705000</v>
      </c>
      <c r="K47" s="7">
        <v>355525000</v>
      </c>
    </row>
    <row r="48" spans="1:11" x14ac:dyDescent="0.25">
      <c r="A48" s="12" t="s">
        <v>17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25">
      <c r="A49" s="10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</row>
    <row r="50" spans="1:11" x14ac:dyDescent="0.25">
      <c r="A50" s="10" t="s">
        <v>47</v>
      </c>
      <c r="B50" s="9">
        <v>32571000</v>
      </c>
      <c r="C50" s="9">
        <v>32571000</v>
      </c>
      <c r="D50" s="9">
        <v>32571000</v>
      </c>
      <c r="E50" s="9">
        <v>4897000</v>
      </c>
      <c r="F50" s="9">
        <v>5288000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</row>
    <row r="51" spans="1:11" x14ac:dyDescent="0.25">
      <c r="A51" s="12" t="s">
        <v>48</v>
      </c>
      <c r="B51" s="7">
        <v>32571000</v>
      </c>
      <c r="C51" s="7">
        <v>32571000</v>
      </c>
      <c r="D51" s="7">
        <v>32571000</v>
      </c>
      <c r="E51" s="7">
        <v>4897000</v>
      </c>
      <c r="F51" s="7">
        <v>5288000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</row>
    <row r="52" spans="1:11" x14ac:dyDescent="0.25">
      <c r="A52" s="12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12" t="s">
        <v>50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12" t="s">
        <v>51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25">
      <c r="A55" s="10" t="s">
        <v>52</v>
      </c>
      <c r="B55" s="9">
        <v>95001000</v>
      </c>
      <c r="C55" s="9">
        <v>93522000</v>
      </c>
      <c r="D55" s="9">
        <v>184495000</v>
      </c>
      <c r="E55" s="9">
        <v>226774000</v>
      </c>
      <c r="F55" s="9">
        <v>209885000</v>
      </c>
      <c r="G55" s="9">
        <v>211288000</v>
      </c>
      <c r="H55" s="9">
        <v>210969000</v>
      </c>
      <c r="I55" s="9">
        <v>210474000</v>
      </c>
      <c r="J55" s="9">
        <v>210724000</v>
      </c>
      <c r="K55" s="9">
        <v>410315000</v>
      </c>
    </row>
    <row r="56" spans="1:11" x14ac:dyDescent="0.25">
      <c r="A56" s="12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25">
      <c r="A57" s="12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25">
      <c r="A58" s="12" t="s">
        <v>17</v>
      </c>
      <c r="B58" s="7">
        <v>95001000</v>
      </c>
      <c r="C58" s="7">
        <v>93522000</v>
      </c>
      <c r="D58" s="7">
        <v>184495000</v>
      </c>
      <c r="E58" s="7">
        <v>226774000</v>
      </c>
      <c r="F58" s="7">
        <v>209885000</v>
      </c>
      <c r="G58" s="7">
        <v>211288000</v>
      </c>
      <c r="H58" s="7">
        <v>210969000</v>
      </c>
      <c r="I58" s="7">
        <v>210474000</v>
      </c>
      <c r="J58" s="7">
        <v>210724000</v>
      </c>
      <c r="K58" s="7">
        <v>410315000</v>
      </c>
    </row>
    <row r="59" spans="1:11" x14ac:dyDescent="0.25">
      <c r="A59" s="8" t="s">
        <v>55</v>
      </c>
      <c r="B59" s="11">
        <v>39655000</v>
      </c>
      <c r="C59" s="11">
        <v>37768000</v>
      </c>
      <c r="D59" s="11">
        <v>67979000</v>
      </c>
      <c r="E59" s="11">
        <v>74612000</v>
      </c>
      <c r="F59" s="11">
        <v>91571000</v>
      </c>
      <c r="G59" s="11">
        <v>93706000</v>
      </c>
      <c r="H59" s="11">
        <v>97383000</v>
      </c>
      <c r="I59" s="11">
        <v>95283000</v>
      </c>
      <c r="J59" s="11">
        <v>102535000</v>
      </c>
      <c r="K59" s="11">
        <v>101125000</v>
      </c>
    </row>
    <row r="60" spans="1:11" x14ac:dyDescent="0.25">
      <c r="A60" s="10" t="s">
        <v>56</v>
      </c>
      <c r="B60" s="9">
        <v>39655000</v>
      </c>
      <c r="C60" s="9">
        <v>37768000</v>
      </c>
      <c r="D60" s="9">
        <v>67979000</v>
      </c>
      <c r="E60" s="9">
        <v>74612000</v>
      </c>
      <c r="F60" s="9">
        <v>91571000</v>
      </c>
      <c r="G60" s="9">
        <v>93706000</v>
      </c>
      <c r="H60" s="9">
        <v>97383000</v>
      </c>
      <c r="I60" s="9">
        <v>95283000</v>
      </c>
      <c r="J60" s="9">
        <v>102535000</v>
      </c>
      <c r="K60" s="9">
        <v>101125000</v>
      </c>
    </row>
    <row r="61" spans="1:11" x14ac:dyDescent="0.25">
      <c r="A61" s="12" t="s">
        <v>57</v>
      </c>
      <c r="B61" s="7">
        <v>0</v>
      </c>
      <c r="C61" s="7">
        <v>0</v>
      </c>
      <c r="D61" s="7">
        <v>0</v>
      </c>
      <c r="E61" s="7">
        <v>65691000</v>
      </c>
      <c r="F61" s="7">
        <v>0</v>
      </c>
      <c r="G61" s="7">
        <v>0</v>
      </c>
      <c r="H61" s="7">
        <v>0</v>
      </c>
      <c r="I61" s="7">
        <v>78647000</v>
      </c>
      <c r="J61" s="7">
        <v>0</v>
      </c>
      <c r="K61" s="7">
        <v>77359000</v>
      </c>
    </row>
    <row r="62" spans="1:11" x14ac:dyDescent="0.25">
      <c r="A62" s="12" t="s">
        <v>58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25">
      <c r="A63" s="12" t="s">
        <v>59</v>
      </c>
      <c r="B63" s="7">
        <v>39655000</v>
      </c>
      <c r="C63" s="7">
        <v>37768000</v>
      </c>
      <c r="D63" s="7">
        <v>67979000</v>
      </c>
      <c r="E63" s="7">
        <v>8749000</v>
      </c>
      <c r="F63" s="7">
        <v>91571000</v>
      </c>
      <c r="G63" s="7">
        <v>93706000</v>
      </c>
      <c r="H63" s="7">
        <v>97383000</v>
      </c>
      <c r="I63" s="7">
        <v>16463000</v>
      </c>
      <c r="J63" s="7">
        <v>102535000</v>
      </c>
      <c r="K63" s="7">
        <v>23593000</v>
      </c>
    </row>
    <row r="64" spans="1:11" x14ac:dyDescent="0.25">
      <c r="A64" s="12" t="s">
        <v>60</v>
      </c>
      <c r="B64" s="7">
        <v>0</v>
      </c>
      <c r="C64" s="7">
        <v>0</v>
      </c>
      <c r="D64" s="7">
        <v>0</v>
      </c>
      <c r="E64" s="7">
        <v>172000</v>
      </c>
      <c r="F64" s="7">
        <v>0</v>
      </c>
      <c r="G64" s="7">
        <v>0</v>
      </c>
      <c r="H64" s="7">
        <v>0</v>
      </c>
      <c r="I64" s="7">
        <v>173000</v>
      </c>
      <c r="J64" s="7">
        <v>0</v>
      </c>
      <c r="K64" s="7">
        <v>173000</v>
      </c>
    </row>
    <row r="65" spans="1:11" x14ac:dyDescent="0.25">
      <c r="A65" s="10" t="s">
        <v>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5">
      <c r="A66" s="8" t="s">
        <v>62</v>
      </c>
      <c r="B66" s="11">
        <v>3482756000</v>
      </c>
      <c r="C66" s="11">
        <v>3476151000</v>
      </c>
      <c r="D66" s="11">
        <v>3648149000</v>
      </c>
      <c r="E66" s="11">
        <v>3664744000</v>
      </c>
      <c r="F66" s="11">
        <v>4300052000</v>
      </c>
      <c r="G66" s="11">
        <v>4436400000</v>
      </c>
      <c r="H66" s="11">
        <v>4560664000</v>
      </c>
      <c r="I66" s="11">
        <v>4305084000</v>
      </c>
      <c r="J66" s="11">
        <v>4452954000</v>
      </c>
      <c r="K66" s="11">
        <v>3990803000</v>
      </c>
    </row>
    <row r="67" spans="1:11" x14ac:dyDescent="0.25">
      <c r="A67" s="10" t="s">
        <v>63</v>
      </c>
      <c r="B67" s="9">
        <v>3411159000</v>
      </c>
      <c r="C67" s="9">
        <v>3404563000</v>
      </c>
      <c r="D67" s="9">
        <v>3568801000</v>
      </c>
      <c r="E67" s="9">
        <v>3590747000</v>
      </c>
      <c r="F67" s="9">
        <v>4234363000</v>
      </c>
      <c r="G67" s="9">
        <v>4372430000</v>
      </c>
      <c r="H67" s="9">
        <v>4505066000</v>
      </c>
      <c r="I67" s="9">
        <v>4237764000</v>
      </c>
      <c r="J67" s="9">
        <v>4389253000</v>
      </c>
      <c r="K67" s="9">
        <v>3939697000</v>
      </c>
    </row>
    <row r="68" spans="1:11" x14ac:dyDescent="0.25">
      <c r="A68" s="10" t="s">
        <v>64</v>
      </c>
      <c r="B68" s="9">
        <v>71597000</v>
      </c>
      <c r="C68" s="9">
        <v>71588000</v>
      </c>
      <c r="D68" s="9">
        <v>79348000</v>
      </c>
      <c r="E68" s="9">
        <v>73997000</v>
      </c>
      <c r="F68" s="9">
        <v>65689000</v>
      </c>
      <c r="G68" s="9">
        <v>63970000</v>
      </c>
      <c r="H68" s="9">
        <v>55598000</v>
      </c>
      <c r="I68" s="9">
        <v>67320000</v>
      </c>
      <c r="J68" s="9">
        <v>63701000</v>
      </c>
      <c r="K68" s="9">
        <v>51106000</v>
      </c>
    </row>
    <row r="69" spans="1:11" x14ac:dyDescent="0.25">
      <c r="A69" s="10" t="s">
        <v>65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1:11" x14ac:dyDescent="0.25">
      <c r="A70" s="8" t="s">
        <v>66</v>
      </c>
      <c r="B70" s="11">
        <v>1678263000</v>
      </c>
      <c r="C70" s="11">
        <v>1651821000</v>
      </c>
      <c r="D70" s="11">
        <v>1788900000</v>
      </c>
      <c r="E70" s="11">
        <v>1740135000</v>
      </c>
      <c r="F70" s="11">
        <v>2223453000</v>
      </c>
      <c r="G70" s="11">
        <v>2334121000</v>
      </c>
      <c r="H70" s="11">
        <v>2397686000</v>
      </c>
      <c r="I70" s="11">
        <v>2219880000</v>
      </c>
      <c r="J70" s="11">
        <v>2420960000</v>
      </c>
      <c r="K70" s="11">
        <v>2137136000</v>
      </c>
    </row>
    <row r="71" spans="1:11" x14ac:dyDescent="0.25">
      <c r="A71" s="10" t="s">
        <v>67</v>
      </c>
      <c r="B71" s="9">
        <v>1678263000</v>
      </c>
      <c r="C71" s="9">
        <v>1651821000</v>
      </c>
      <c r="D71" s="9">
        <v>1788900000</v>
      </c>
      <c r="E71" s="9">
        <v>1740135000</v>
      </c>
      <c r="F71" s="9">
        <v>2223453000</v>
      </c>
      <c r="G71" s="9">
        <v>2334121000</v>
      </c>
      <c r="H71" s="9">
        <v>2397686000</v>
      </c>
      <c r="I71" s="9">
        <v>2219880000</v>
      </c>
      <c r="J71" s="9">
        <v>2420960000</v>
      </c>
      <c r="K71" s="9">
        <v>2137136000</v>
      </c>
    </row>
    <row r="72" spans="1:11" x14ac:dyDescent="0.25">
      <c r="A72" s="12" t="s">
        <v>68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25">
      <c r="A73" s="12" t="s">
        <v>17</v>
      </c>
      <c r="B73" s="7">
        <v>1678263000</v>
      </c>
      <c r="C73" s="7">
        <v>1651821000</v>
      </c>
      <c r="D73" s="7">
        <v>1788900000</v>
      </c>
      <c r="E73" s="7">
        <v>1740135000</v>
      </c>
      <c r="F73" s="7">
        <v>2223453000</v>
      </c>
      <c r="G73" s="7">
        <v>2334121000</v>
      </c>
      <c r="H73" s="7">
        <v>2397686000</v>
      </c>
      <c r="I73" s="7">
        <v>2219880000</v>
      </c>
      <c r="J73" s="7">
        <v>2420960000</v>
      </c>
      <c r="K73" s="7">
        <v>2137136000</v>
      </c>
    </row>
    <row r="74" spans="1:11" x14ac:dyDescent="0.25">
      <c r="A74" s="10" t="s">
        <v>69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</row>
    <row r="75" spans="1:11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3" t="s">
        <v>70</v>
      </c>
      <c r="B76" s="5" t="s">
        <v>2</v>
      </c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2</v>
      </c>
      <c r="K76" s="5" t="s">
        <v>2</v>
      </c>
    </row>
    <row r="77" spans="1:11" x14ac:dyDescent="0.25">
      <c r="A77" s="3" t="s">
        <v>71</v>
      </c>
      <c r="B77" s="7">
        <v>9440143000</v>
      </c>
      <c r="C77" s="7">
        <v>9236750000</v>
      </c>
      <c r="D77" s="7">
        <v>10022525000</v>
      </c>
      <c r="E77" s="7">
        <v>9375411000</v>
      </c>
      <c r="F77" s="7">
        <v>11717177000</v>
      </c>
      <c r="G77" s="7">
        <v>11892587000</v>
      </c>
      <c r="H77" s="7">
        <v>13010400000</v>
      </c>
      <c r="I77" s="7">
        <v>12411803000</v>
      </c>
      <c r="J77" s="7">
        <v>13652232000</v>
      </c>
      <c r="K77" s="7">
        <v>13203278000</v>
      </c>
    </row>
    <row r="78" spans="1:11" x14ac:dyDescent="0.25">
      <c r="A78" s="6" t="s">
        <v>72</v>
      </c>
      <c r="B78" s="9">
        <v>3099445000</v>
      </c>
      <c r="C78" s="9">
        <v>2853138000</v>
      </c>
      <c r="D78" s="9">
        <v>2915325000</v>
      </c>
      <c r="E78" s="9">
        <v>2583618000</v>
      </c>
      <c r="F78" s="9">
        <v>3694293000</v>
      </c>
      <c r="G78" s="9">
        <v>3602714000</v>
      </c>
      <c r="H78" s="9">
        <v>4693039000</v>
      </c>
      <c r="I78" s="9">
        <v>4352451000</v>
      </c>
      <c r="J78" s="9">
        <v>6139477000</v>
      </c>
      <c r="K78" s="9">
        <v>4781777000</v>
      </c>
    </row>
    <row r="79" spans="1:11" x14ac:dyDescent="0.25">
      <c r="A79" s="8" t="s">
        <v>73</v>
      </c>
      <c r="B79" s="11">
        <v>306076000</v>
      </c>
      <c r="C79" s="11">
        <v>326890000</v>
      </c>
      <c r="D79" s="11">
        <v>361974000</v>
      </c>
      <c r="E79" s="11">
        <v>322088000</v>
      </c>
      <c r="F79" s="11">
        <v>326755000</v>
      </c>
      <c r="G79" s="11">
        <v>351672000</v>
      </c>
      <c r="H79" s="11">
        <v>376733000</v>
      </c>
      <c r="I79" s="11">
        <v>318632000</v>
      </c>
      <c r="J79" s="11">
        <v>399131000</v>
      </c>
      <c r="K79" s="11">
        <v>441451000</v>
      </c>
    </row>
    <row r="80" spans="1:11" x14ac:dyDescent="0.25">
      <c r="A80" s="10" t="s">
        <v>74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1:11" x14ac:dyDescent="0.25">
      <c r="A81" s="10" t="s">
        <v>75</v>
      </c>
      <c r="B81" s="9">
        <v>306076000</v>
      </c>
      <c r="C81" s="9">
        <v>326890000</v>
      </c>
      <c r="D81" s="9">
        <v>361974000</v>
      </c>
      <c r="E81" s="9">
        <v>322088000</v>
      </c>
      <c r="F81" s="9">
        <v>326755000</v>
      </c>
      <c r="G81" s="9">
        <v>351672000</v>
      </c>
      <c r="H81" s="9">
        <v>376733000</v>
      </c>
      <c r="I81" s="9">
        <v>318632000</v>
      </c>
      <c r="J81" s="9">
        <v>399131000</v>
      </c>
      <c r="K81" s="9">
        <v>441451000</v>
      </c>
    </row>
    <row r="82" spans="1:11" x14ac:dyDescent="0.25">
      <c r="A82" s="8" t="s">
        <v>76</v>
      </c>
      <c r="B82" s="11">
        <v>1367348000</v>
      </c>
      <c r="C82" s="11">
        <v>1246438000</v>
      </c>
      <c r="D82" s="11">
        <v>1228512000</v>
      </c>
      <c r="E82" s="11">
        <v>1126821000</v>
      </c>
      <c r="F82" s="11">
        <v>1436452000</v>
      </c>
      <c r="G82" s="11">
        <v>919013000</v>
      </c>
      <c r="H82" s="11">
        <v>1349412000</v>
      </c>
      <c r="I82" s="11">
        <v>1463594000</v>
      </c>
      <c r="J82" s="11">
        <v>1729247000</v>
      </c>
      <c r="K82" s="11">
        <v>1700511000</v>
      </c>
    </row>
    <row r="83" spans="1:11" x14ac:dyDescent="0.25">
      <c r="A83" s="10" t="s">
        <v>77</v>
      </c>
      <c r="B83" s="9">
        <v>149204000</v>
      </c>
      <c r="C83" s="9">
        <v>181410000</v>
      </c>
      <c r="D83" s="9">
        <v>154437000</v>
      </c>
      <c r="E83" s="9">
        <v>149658000</v>
      </c>
      <c r="F83" s="9">
        <v>174079000</v>
      </c>
      <c r="G83" s="9">
        <v>85994000</v>
      </c>
      <c r="H83" s="9">
        <v>186954000</v>
      </c>
      <c r="I83" s="9">
        <v>194509000</v>
      </c>
      <c r="J83" s="9">
        <v>271295000</v>
      </c>
      <c r="K83" s="9">
        <v>271032000</v>
      </c>
    </row>
    <row r="84" spans="1:11" x14ac:dyDescent="0.25">
      <c r="A84" s="10" t="s">
        <v>78</v>
      </c>
      <c r="B84" s="9">
        <v>1218144000</v>
      </c>
      <c r="C84" s="9">
        <v>1065028000</v>
      </c>
      <c r="D84" s="9">
        <v>1074075000</v>
      </c>
      <c r="E84" s="9">
        <v>977163000</v>
      </c>
      <c r="F84" s="9">
        <v>1262373000</v>
      </c>
      <c r="G84" s="9">
        <v>833019000</v>
      </c>
      <c r="H84" s="9">
        <v>1162458000</v>
      </c>
      <c r="I84" s="9">
        <v>1269085000</v>
      </c>
      <c r="J84" s="9">
        <v>1457952000</v>
      </c>
      <c r="K84" s="9">
        <v>1429479000</v>
      </c>
    </row>
    <row r="85" spans="1:11" x14ac:dyDescent="0.25">
      <c r="A85" s="8" t="s">
        <v>79</v>
      </c>
      <c r="B85" s="11">
        <v>138571000</v>
      </c>
      <c r="C85" s="11">
        <v>172239000</v>
      </c>
      <c r="D85" s="11">
        <v>216024000</v>
      </c>
      <c r="E85" s="11">
        <v>121060000</v>
      </c>
      <c r="F85" s="11">
        <v>93075000</v>
      </c>
      <c r="G85" s="11">
        <v>73495000</v>
      </c>
      <c r="H85" s="11">
        <v>123405000</v>
      </c>
      <c r="I85" s="11">
        <v>90868000</v>
      </c>
      <c r="J85" s="11">
        <v>117971000</v>
      </c>
      <c r="K85" s="11">
        <v>220606000</v>
      </c>
    </row>
    <row r="86" spans="1:11" x14ac:dyDescent="0.25">
      <c r="A86" s="10" t="s">
        <v>80</v>
      </c>
      <c r="B86" s="41" t="s">
        <v>14</v>
      </c>
      <c r="C86" s="41" t="s">
        <v>14</v>
      </c>
      <c r="D86" s="41" t="s">
        <v>14</v>
      </c>
      <c r="E86" s="41" t="s">
        <v>14</v>
      </c>
      <c r="F86" s="41" t="s">
        <v>14</v>
      </c>
      <c r="G86" s="41" t="s">
        <v>14</v>
      </c>
      <c r="H86" s="41" t="s">
        <v>14</v>
      </c>
      <c r="I86" s="41" t="s">
        <v>14</v>
      </c>
      <c r="J86" s="41" t="s">
        <v>14</v>
      </c>
      <c r="K86" s="41" t="s">
        <v>14</v>
      </c>
    </row>
    <row r="87" spans="1:11" x14ac:dyDescent="0.25">
      <c r="A87" s="12" t="s">
        <v>81</v>
      </c>
      <c r="B87" s="5" t="s">
        <v>14</v>
      </c>
      <c r="C87" s="5" t="s">
        <v>14</v>
      </c>
      <c r="D87" s="5" t="s">
        <v>14</v>
      </c>
      <c r="E87" s="5" t="s">
        <v>14</v>
      </c>
      <c r="F87" s="5" t="s">
        <v>14</v>
      </c>
      <c r="G87" s="5" t="s">
        <v>14</v>
      </c>
      <c r="H87" s="5" t="s">
        <v>14</v>
      </c>
      <c r="I87" s="5" t="s">
        <v>14</v>
      </c>
      <c r="J87" s="5" t="s">
        <v>14</v>
      </c>
      <c r="K87" s="5" t="s">
        <v>14</v>
      </c>
    </row>
    <row r="88" spans="1:11" x14ac:dyDescent="0.25">
      <c r="A88" s="12" t="s">
        <v>17</v>
      </c>
      <c r="B88" s="5" t="s">
        <v>14</v>
      </c>
      <c r="C88" s="5" t="s">
        <v>14</v>
      </c>
      <c r="D88" s="5" t="s">
        <v>14</v>
      </c>
      <c r="E88" s="5" t="s">
        <v>14</v>
      </c>
      <c r="F88" s="5" t="s">
        <v>14</v>
      </c>
      <c r="G88" s="5" t="s">
        <v>14</v>
      </c>
      <c r="H88" s="5" t="s">
        <v>14</v>
      </c>
      <c r="I88" s="5" t="s">
        <v>14</v>
      </c>
      <c r="J88" s="5" t="s">
        <v>14</v>
      </c>
      <c r="K88" s="5" t="s">
        <v>14</v>
      </c>
    </row>
    <row r="89" spans="1:11" x14ac:dyDescent="0.25">
      <c r="A89" s="10" t="s">
        <v>82</v>
      </c>
      <c r="B89" s="41" t="s">
        <v>14</v>
      </c>
      <c r="C89" s="41" t="s">
        <v>14</v>
      </c>
      <c r="D89" s="41" t="s">
        <v>14</v>
      </c>
      <c r="E89" s="41" t="s">
        <v>14</v>
      </c>
      <c r="F89" s="41" t="s">
        <v>14</v>
      </c>
      <c r="G89" s="41" t="s">
        <v>14</v>
      </c>
      <c r="H89" s="41" t="s">
        <v>14</v>
      </c>
      <c r="I89" s="41" t="s">
        <v>14</v>
      </c>
      <c r="J89" s="41" t="s">
        <v>14</v>
      </c>
      <c r="K89" s="41" t="s">
        <v>14</v>
      </c>
    </row>
    <row r="90" spans="1:11" x14ac:dyDescent="0.25">
      <c r="A90" s="10" t="s">
        <v>83</v>
      </c>
      <c r="B90" s="41" t="s">
        <v>14</v>
      </c>
      <c r="C90" s="41" t="s">
        <v>14</v>
      </c>
      <c r="D90" s="41" t="s">
        <v>14</v>
      </c>
      <c r="E90" s="41" t="s">
        <v>14</v>
      </c>
      <c r="F90" s="41" t="s">
        <v>14</v>
      </c>
      <c r="G90" s="41" t="s">
        <v>14</v>
      </c>
      <c r="H90" s="41" t="s">
        <v>14</v>
      </c>
      <c r="I90" s="41" t="s">
        <v>14</v>
      </c>
      <c r="J90" s="41" t="s">
        <v>14</v>
      </c>
      <c r="K90" s="41" t="s">
        <v>14</v>
      </c>
    </row>
    <row r="91" spans="1:11" x14ac:dyDescent="0.25">
      <c r="A91" s="8" t="s">
        <v>84</v>
      </c>
      <c r="B91" s="11">
        <v>867948000</v>
      </c>
      <c r="C91" s="11">
        <v>743937000</v>
      </c>
      <c r="D91" s="11">
        <v>725455000</v>
      </c>
      <c r="E91" s="11">
        <v>648697000</v>
      </c>
      <c r="F91" s="11">
        <v>1462573000</v>
      </c>
      <c r="G91" s="11">
        <v>1828277000</v>
      </c>
      <c r="H91" s="11">
        <v>2336419000</v>
      </c>
      <c r="I91" s="11">
        <v>1907564000</v>
      </c>
      <c r="J91" s="11">
        <v>3303156000</v>
      </c>
      <c r="K91" s="11">
        <v>1798780000</v>
      </c>
    </row>
    <row r="92" spans="1:11" x14ac:dyDescent="0.25">
      <c r="A92" s="10" t="s">
        <v>85</v>
      </c>
      <c r="B92" s="9">
        <v>707690000</v>
      </c>
      <c r="C92" s="9">
        <v>726463000</v>
      </c>
      <c r="D92" s="9">
        <v>724591000</v>
      </c>
      <c r="E92" s="9">
        <v>629300000</v>
      </c>
      <c r="F92" s="9">
        <v>1462768000</v>
      </c>
      <c r="G92" s="9">
        <v>1827512000</v>
      </c>
      <c r="H92" s="9">
        <v>2341755000</v>
      </c>
      <c r="I92" s="9">
        <v>1907613000</v>
      </c>
      <c r="J92" s="9">
        <v>3086850000</v>
      </c>
      <c r="K92" s="9">
        <v>1575395000</v>
      </c>
    </row>
    <row r="93" spans="1:11" x14ac:dyDescent="0.25">
      <c r="A93" s="12" t="s">
        <v>86</v>
      </c>
      <c r="B93" s="7">
        <v>13134000</v>
      </c>
      <c r="C93" s="7">
        <v>11095000</v>
      </c>
      <c r="D93" s="7">
        <v>10367000</v>
      </c>
      <c r="E93" s="7">
        <v>4955000</v>
      </c>
      <c r="F93" s="7">
        <v>576986000</v>
      </c>
      <c r="G93" s="7">
        <v>989795000</v>
      </c>
      <c r="H93" s="7">
        <v>1078877000</v>
      </c>
      <c r="I93" s="7">
        <v>1089094000</v>
      </c>
      <c r="J93" s="7">
        <v>1344178000</v>
      </c>
      <c r="K93" s="7">
        <v>974923000</v>
      </c>
    </row>
    <row r="94" spans="1:11" x14ac:dyDescent="0.25">
      <c r="A94" s="12" t="s">
        <v>87</v>
      </c>
      <c r="B94" s="7">
        <v>694556000</v>
      </c>
      <c r="C94" s="7">
        <v>715368000</v>
      </c>
      <c r="D94" s="7">
        <v>714224000</v>
      </c>
      <c r="E94" s="7">
        <v>624345000</v>
      </c>
      <c r="F94" s="7">
        <v>885782000</v>
      </c>
      <c r="G94" s="7">
        <v>837717000</v>
      </c>
      <c r="H94" s="7">
        <v>1262878000</v>
      </c>
      <c r="I94" s="7">
        <v>818519000</v>
      </c>
      <c r="J94" s="7">
        <v>1742672000</v>
      </c>
      <c r="K94" s="7">
        <v>600472000</v>
      </c>
    </row>
    <row r="95" spans="1:11" x14ac:dyDescent="0.25">
      <c r="A95" s="10" t="s">
        <v>88</v>
      </c>
      <c r="B95" s="9">
        <v>160258000</v>
      </c>
      <c r="C95" s="9">
        <v>17474000</v>
      </c>
      <c r="D95" s="9">
        <v>864000</v>
      </c>
      <c r="E95" s="9">
        <v>19397000</v>
      </c>
      <c r="F95" s="9">
        <v>-195000</v>
      </c>
      <c r="G95" s="9">
        <v>765000</v>
      </c>
      <c r="H95" s="9">
        <v>-5336000</v>
      </c>
      <c r="I95" s="9">
        <v>-49000</v>
      </c>
      <c r="J95" s="9">
        <v>216306000</v>
      </c>
      <c r="K95" s="9">
        <v>223385000</v>
      </c>
    </row>
    <row r="96" spans="1:11" x14ac:dyDescent="0.25">
      <c r="A96" s="10" t="s">
        <v>89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  <row r="97" spans="1:11" x14ac:dyDescent="0.25">
      <c r="A97" s="8" t="s">
        <v>90</v>
      </c>
      <c r="B97" s="11">
        <v>419502000</v>
      </c>
      <c r="C97" s="11">
        <v>363634000</v>
      </c>
      <c r="D97" s="11">
        <v>383360000</v>
      </c>
      <c r="E97" s="11">
        <v>364952000</v>
      </c>
      <c r="F97" s="11">
        <v>375438000</v>
      </c>
      <c r="G97" s="11">
        <v>430257000</v>
      </c>
      <c r="H97" s="11">
        <v>507070000</v>
      </c>
      <c r="I97" s="11">
        <v>571793000</v>
      </c>
      <c r="J97" s="11">
        <v>589972000</v>
      </c>
      <c r="K97" s="11">
        <v>620429000</v>
      </c>
    </row>
    <row r="98" spans="1:11" x14ac:dyDescent="0.25">
      <c r="A98" s="10" t="s">
        <v>91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</row>
    <row r="99" spans="1:11" x14ac:dyDescent="0.25">
      <c r="A99" s="12" t="s">
        <v>92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25">
      <c r="A100" s="12" t="s">
        <v>93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25">
      <c r="A101" s="12" t="s">
        <v>94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25">
      <c r="A102" s="12" t="s">
        <v>95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25">
      <c r="A103" s="10" t="s">
        <v>96</v>
      </c>
      <c r="B103" s="9">
        <v>419502000</v>
      </c>
      <c r="C103" s="9">
        <v>363634000</v>
      </c>
      <c r="D103" s="9">
        <v>383360000</v>
      </c>
      <c r="E103" s="9">
        <v>364952000</v>
      </c>
      <c r="F103" s="9">
        <v>375438000</v>
      </c>
      <c r="G103" s="9">
        <v>430257000</v>
      </c>
      <c r="H103" s="9">
        <v>507070000</v>
      </c>
      <c r="I103" s="9">
        <v>571793000</v>
      </c>
      <c r="J103" s="9">
        <v>589972000</v>
      </c>
      <c r="K103" s="9">
        <v>620429000</v>
      </c>
    </row>
    <row r="104" spans="1:11" x14ac:dyDescent="0.25">
      <c r="A104" s="12" t="s">
        <v>97</v>
      </c>
      <c r="B104" s="7">
        <v>56352000</v>
      </c>
      <c r="C104" s="7">
        <v>56117000</v>
      </c>
      <c r="D104" s="7">
        <v>65930000</v>
      </c>
      <c r="E104" s="7">
        <v>127147000</v>
      </c>
      <c r="F104" s="7">
        <v>81676000</v>
      </c>
      <c r="G104" s="7">
        <v>86596000</v>
      </c>
      <c r="H104" s="7">
        <v>93026000</v>
      </c>
      <c r="I104" s="7">
        <v>89731000</v>
      </c>
      <c r="J104" s="7">
        <v>74790000</v>
      </c>
      <c r="K104" s="7">
        <v>55756000</v>
      </c>
    </row>
    <row r="105" spans="1:11" x14ac:dyDescent="0.25">
      <c r="A105" s="12" t="s">
        <v>98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5">
      <c r="A106" s="12" t="s">
        <v>99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25">
      <c r="A107" s="12" t="s">
        <v>17</v>
      </c>
      <c r="B107" s="7">
        <v>363150000</v>
      </c>
      <c r="C107" s="7">
        <v>307517000</v>
      </c>
      <c r="D107" s="7">
        <v>317430000</v>
      </c>
      <c r="E107" s="7">
        <v>237805000</v>
      </c>
      <c r="F107" s="7">
        <v>293762000</v>
      </c>
      <c r="G107" s="7">
        <v>343661000</v>
      </c>
      <c r="H107" s="7">
        <v>414044000</v>
      </c>
      <c r="I107" s="7">
        <v>482062000</v>
      </c>
      <c r="J107" s="7">
        <v>515182000</v>
      </c>
      <c r="K107" s="7">
        <v>564673000</v>
      </c>
    </row>
    <row r="108" spans="1:11" x14ac:dyDescent="0.25">
      <c r="A108" s="8" t="s">
        <v>100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</row>
    <row r="109" spans="1:11" x14ac:dyDescent="0.25">
      <c r="A109" s="10" t="s">
        <v>101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</row>
    <row r="110" spans="1:11" x14ac:dyDescent="0.25">
      <c r="A110" s="12" t="s">
        <v>102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25">
      <c r="A111" s="12" t="s">
        <v>103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x14ac:dyDescent="0.25">
      <c r="A112" s="12" t="s">
        <v>104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</row>
    <row r="113" spans="1:11" x14ac:dyDescent="0.25">
      <c r="A113" s="12" t="s">
        <v>105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5">
      <c r="A114" s="12" t="s">
        <v>17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5">
      <c r="A115" s="10" t="s">
        <v>106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1:11" x14ac:dyDescent="0.25">
      <c r="A116" s="12" t="s">
        <v>107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5">
      <c r="A117" s="12" t="s">
        <v>108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25">
      <c r="A118" s="12" t="s">
        <v>109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</row>
    <row r="119" spans="1:11" x14ac:dyDescent="0.25">
      <c r="A119" s="12" t="s">
        <v>17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</row>
    <row r="120" spans="1:11" x14ac:dyDescent="0.25">
      <c r="A120" s="8" t="s">
        <v>110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</row>
    <row r="121" spans="1:11" x14ac:dyDescent="0.25">
      <c r="A121" s="10" t="s">
        <v>111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</row>
    <row r="122" spans="1:11" x14ac:dyDescent="0.25">
      <c r="A122" s="10" t="s">
        <v>112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</row>
    <row r="123" spans="1:11" x14ac:dyDescent="0.25">
      <c r="A123" s="6" t="s">
        <v>113</v>
      </c>
      <c r="B123" s="9">
        <v>3126464000</v>
      </c>
      <c r="C123" s="9">
        <v>3053548000</v>
      </c>
      <c r="D123" s="9">
        <v>3480830000</v>
      </c>
      <c r="E123" s="9">
        <v>3294817000</v>
      </c>
      <c r="F123" s="9">
        <v>3838516000</v>
      </c>
      <c r="G123" s="9">
        <v>4245199000</v>
      </c>
      <c r="H123" s="9">
        <v>4161611000</v>
      </c>
      <c r="I123" s="9">
        <v>4256591000</v>
      </c>
      <c r="J123" s="9">
        <v>3363226000</v>
      </c>
      <c r="K123" s="9">
        <v>4528308000</v>
      </c>
    </row>
    <row r="124" spans="1:11" x14ac:dyDescent="0.25">
      <c r="A124" s="8" t="s">
        <v>114</v>
      </c>
      <c r="B124" s="11">
        <v>2294307000</v>
      </c>
      <c r="C124" s="11">
        <v>2249630000</v>
      </c>
      <c r="D124" s="11">
        <v>2634029000</v>
      </c>
      <c r="E124" s="11">
        <v>2412886000</v>
      </c>
      <c r="F124" s="11">
        <v>2837467000</v>
      </c>
      <c r="G124" s="11">
        <v>3200463000</v>
      </c>
      <c r="H124" s="11">
        <v>3043845000</v>
      </c>
      <c r="I124" s="11">
        <v>3212825000</v>
      </c>
      <c r="J124" s="11">
        <v>2263046000</v>
      </c>
      <c r="K124" s="11">
        <v>3574364000</v>
      </c>
    </row>
    <row r="125" spans="1:11" x14ac:dyDescent="0.25">
      <c r="A125" s="10" t="s">
        <v>115</v>
      </c>
      <c r="B125" s="9">
        <v>1404227000</v>
      </c>
      <c r="C125" s="9">
        <v>1358854000</v>
      </c>
      <c r="D125" s="9">
        <v>1394744000</v>
      </c>
      <c r="E125" s="9">
        <v>1173173000</v>
      </c>
      <c r="F125" s="9">
        <v>1597034000</v>
      </c>
      <c r="G125" s="9">
        <v>1959363000</v>
      </c>
      <c r="H125" s="9">
        <v>1808730000</v>
      </c>
      <c r="I125" s="9">
        <v>1983098000</v>
      </c>
      <c r="J125" s="9">
        <v>1255255000</v>
      </c>
      <c r="K125" s="9">
        <v>2574417000</v>
      </c>
    </row>
    <row r="126" spans="1:11" x14ac:dyDescent="0.25">
      <c r="A126" s="12" t="s">
        <v>116</v>
      </c>
      <c r="B126" s="7">
        <v>17975000</v>
      </c>
      <c r="C126" s="7">
        <v>15179000</v>
      </c>
      <c r="D126" s="7">
        <v>12882000</v>
      </c>
      <c r="E126" s="7">
        <v>4262000</v>
      </c>
      <c r="F126" s="7">
        <v>103552000</v>
      </c>
      <c r="G126" s="7">
        <v>2840000</v>
      </c>
      <c r="H126" s="7">
        <v>2131000</v>
      </c>
      <c r="I126" s="7">
        <v>1421000</v>
      </c>
      <c r="J126" s="7">
        <v>710000</v>
      </c>
      <c r="K126" s="7">
        <v>320685000</v>
      </c>
    </row>
    <row r="127" spans="1:11" x14ac:dyDescent="0.25">
      <c r="A127" s="12" t="s">
        <v>117</v>
      </c>
      <c r="B127" s="7">
        <v>1386252000</v>
      </c>
      <c r="C127" s="7">
        <v>1343675000</v>
      </c>
      <c r="D127" s="7">
        <v>1381862000</v>
      </c>
      <c r="E127" s="7">
        <v>1168911000</v>
      </c>
      <c r="F127" s="7">
        <v>1493482000</v>
      </c>
      <c r="G127" s="7">
        <v>1956523000</v>
      </c>
      <c r="H127" s="7">
        <v>1806599000</v>
      </c>
      <c r="I127" s="7">
        <v>1981677000</v>
      </c>
      <c r="J127" s="7">
        <v>1254545000</v>
      </c>
      <c r="K127" s="7">
        <v>2253732000</v>
      </c>
    </row>
    <row r="128" spans="1:11" x14ac:dyDescent="0.25">
      <c r="A128" s="10" t="s">
        <v>118</v>
      </c>
      <c r="B128" s="9">
        <v>890080000</v>
      </c>
      <c r="C128" s="9">
        <v>890776000</v>
      </c>
      <c r="D128" s="9">
        <v>1239285000</v>
      </c>
      <c r="E128" s="9">
        <v>1239713000</v>
      </c>
      <c r="F128" s="9">
        <v>1240433000</v>
      </c>
      <c r="G128" s="9">
        <v>1241100000</v>
      </c>
      <c r="H128" s="9">
        <v>1235115000</v>
      </c>
      <c r="I128" s="9">
        <v>1229727000</v>
      </c>
      <c r="J128" s="9">
        <v>1007791000</v>
      </c>
      <c r="K128" s="9">
        <v>999947000</v>
      </c>
    </row>
    <row r="129" spans="1:11" x14ac:dyDescent="0.25">
      <c r="A129" s="10" t="s">
        <v>119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</row>
    <row r="130" spans="1:11" x14ac:dyDescent="0.25">
      <c r="A130" s="8" t="s">
        <v>120</v>
      </c>
      <c r="B130" s="11">
        <v>88021000</v>
      </c>
      <c r="C130" s="11">
        <v>94543000</v>
      </c>
      <c r="D130" s="11">
        <v>99275000</v>
      </c>
      <c r="E130" s="11">
        <v>107698000</v>
      </c>
      <c r="F130" s="11">
        <v>78463000</v>
      </c>
      <c r="G130" s="11">
        <v>78398000</v>
      </c>
      <c r="H130" s="11">
        <v>76049000</v>
      </c>
      <c r="I130" s="11">
        <v>87234000</v>
      </c>
      <c r="J130" s="11">
        <v>86951000</v>
      </c>
      <c r="K130" s="11">
        <v>64431000</v>
      </c>
    </row>
    <row r="131" spans="1:11" x14ac:dyDescent="0.25">
      <c r="A131" s="10" t="s">
        <v>121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</row>
    <row r="132" spans="1:11" x14ac:dyDescent="0.25">
      <c r="A132" s="12" t="s">
        <v>122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</row>
    <row r="133" spans="1:11" x14ac:dyDescent="0.25">
      <c r="A133" s="12" t="s">
        <v>123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</row>
    <row r="134" spans="1:11" x14ac:dyDescent="0.25">
      <c r="A134" s="12" t="s">
        <v>124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25">
      <c r="A135" s="12" t="s">
        <v>125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</row>
    <row r="136" spans="1:11" x14ac:dyDescent="0.25">
      <c r="A136" s="10" t="s">
        <v>126</v>
      </c>
      <c r="B136" s="9">
        <v>88021000</v>
      </c>
      <c r="C136" s="9">
        <v>94543000</v>
      </c>
      <c r="D136" s="9">
        <v>99275000</v>
      </c>
      <c r="E136" s="9">
        <v>107698000</v>
      </c>
      <c r="F136" s="9">
        <v>78463000</v>
      </c>
      <c r="G136" s="9">
        <v>78398000</v>
      </c>
      <c r="H136" s="9">
        <v>76049000</v>
      </c>
      <c r="I136" s="9">
        <v>87234000</v>
      </c>
      <c r="J136" s="9">
        <v>86951000</v>
      </c>
      <c r="K136" s="9">
        <v>64431000</v>
      </c>
    </row>
    <row r="137" spans="1:11" x14ac:dyDescent="0.25">
      <c r="A137" s="12" t="s">
        <v>127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5">
      <c r="A138" s="12" t="s">
        <v>128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</row>
    <row r="139" spans="1:11" x14ac:dyDescent="0.25">
      <c r="A139" s="12" t="s">
        <v>17</v>
      </c>
      <c r="B139" s="7">
        <v>88021000</v>
      </c>
      <c r="C139" s="7">
        <v>94543000</v>
      </c>
      <c r="D139" s="7">
        <v>99275000</v>
      </c>
      <c r="E139" s="7">
        <v>107698000</v>
      </c>
      <c r="F139" s="7">
        <v>78463000</v>
      </c>
      <c r="G139" s="7">
        <v>78398000</v>
      </c>
      <c r="H139" s="7">
        <v>76049000</v>
      </c>
      <c r="I139" s="7">
        <v>87234000</v>
      </c>
      <c r="J139" s="7">
        <v>86951000</v>
      </c>
      <c r="K139" s="7">
        <v>64431000</v>
      </c>
    </row>
    <row r="140" spans="1:11" x14ac:dyDescent="0.25">
      <c r="A140" s="8" t="s">
        <v>129</v>
      </c>
      <c r="B140" s="11">
        <v>178767000</v>
      </c>
      <c r="C140" s="11">
        <v>165427000</v>
      </c>
      <c r="D140" s="11">
        <v>182911000</v>
      </c>
      <c r="E140" s="11">
        <v>174548000</v>
      </c>
      <c r="F140" s="11">
        <v>198721000</v>
      </c>
      <c r="G140" s="11">
        <v>203951000</v>
      </c>
      <c r="H140" s="11">
        <v>221660000</v>
      </c>
      <c r="I140" s="11">
        <v>175180000</v>
      </c>
      <c r="J140" s="11">
        <v>192230000</v>
      </c>
      <c r="K140" s="11">
        <v>160053000</v>
      </c>
    </row>
    <row r="141" spans="1:11" x14ac:dyDescent="0.25">
      <c r="A141" s="10" t="s">
        <v>130</v>
      </c>
      <c r="B141" s="9">
        <v>178767000</v>
      </c>
      <c r="C141" s="9">
        <v>165427000</v>
      </c>
      <c r="D141" s="9">
        <v>182911000</v>
      </c>
      <c r="E141" s="9">
        <v>174548000</v>
      </c>
      <c r="F141" s="9">
        <v>198721000</v>
      </c>
      <c r="G141" s="9">
        <v>203951000</v>
      </c>
      <c r="H141" s="9">
        <v>221660000</v>
      </c>
      <c r="I141" s="9">
        <v>175180000</v>
      </c>
      <c r="J141" s="9">
        <v>192230000</v>
      </c>
      <c r="K141" s="9">
        <v>160053000</v>
      </c>
    </row>
    <row r="142" spans="1:11" x14ac:dyDescent="0.25">
      <c r="A142" s="8" t="s">
        <v>131</v>
      </c>
      <c r="B142" s="11">
        <v>565369000</v>
      </c>
      <c r="C142" s="11">
        <v>543948000</v>
      </c>
      <c r="D142" s="11">
        <v>564615000</v>
      </c>
      <c r="E142" s="11">
        <v>599685000</v>
      </c>
      <c r="F142" s="11">
        <v>723865000</v>
      </c>
      <c r="G142" s="11">
        <v>762387000</v>
      </c>
      <c r="H142" s="11">
        <v>820057000</v>
      </c>
      <c r="I142" s="11">
        <v>781352000</v>
      </c>
      <c r="J142" s="11">
        <v>820999000</v>
      </c>
      <c r="K142" s="11">
        <v>729460000</v>
      </c>
    </row>
    <row r="143" spans="1:11" x14ac:dyDescent="0.25">
      <c r="A143" s="10" t="s">
        <v>132</v>
      </c>
      <c r="B143" s="9">
        <v>101410000</v>
      </c>
      <c r="C143" s="9">
        <v>84568000</v>
      </c>
      <c r="D143" s="9">
        <v>86542000</v>
      </c>
      <c r="E143" s="9">
        <v>83753000</v>
      </c>
      <c r="F143" s="9">
        <v>82744000</v>
      </c>
      <c r="G143" s="9">
        <v>84136000</v>
      </c>
      <c r="H143" s="9">
        <v>104246000</v>
      </c>
      <c r="I143" s="9">
        <v>79423000</v>
      </c>
      <c r="J143" s="9">
        <v>90726000</v>
      </c>
      <c r="K143" s="9">
        <v>86108000</v>
      </c>
    </row>
    <row r="144" spans="1:11" x14ac:dyDescent="0.25">
      <c r="A144" s="12" t="s">
        <v>133</v>
      </c>
      <c r="B144" s="7">
        <v>52892000</v>
      </c>
      <c r="C144" s="7">
        <v>46873000</v>
      </c>
      <c r="D144" s="7">
        <v>48448000</v>
      </c>
      <c r="E144" s="7">
        <v>50594000</v>
      </c>
      <c r="F144" s="7">
        <v>54570000</v>
      </c>
      <c r="G144" s="7">
        <v>55896000</v>
      </c>
      <c r="H144" s="7">
        <v>75998000</v>
      </c>
      <c r="I144" s="7">
        <v>53452000</v>
      </c>
      <c r="J144" s="7">
        <v>56470000</v>
      </c>
      <c r="K144" s="7">
        <v>54715000</v>
      </c>
    </row>
    <row r="145" spans="1:11" x14ac:dyDescent="0.25">
      <c r="A145" s="12" t="s">
        <v>134</v>
      </c>
      <c r="B145" s="7">
        <v>36308000</v>
      </c>
      <c r="C145" s="7">
        <v>33699000</v>
      </c>
      <c r="D145" s="7">
        <v>33930000</v>
      </c>
      <c r="E145" s="7">
        <v>28628000</v>
      </c>
      <c r="F145" s="7">
        <v>23537000</v>
      </c>
      <c r="G145" s="7">
        <v>23593000</v>
      </c>
      <c r="H145" s="7">
        <v>23557000</v>
      </c>
      <c r="I145" s="7">
        <v>21217000</v>
      </c>
      <c r="J145" s="7">
        <v>20804000</v>
      </c>
      <c r="K145" s="7">
        <v>18874000</v>
      </c>
    </row>
    <row r="146" spans="1:11" x14ac:dyDescent="0.25">
      <c r="A146" s="12" t="s">
        <v>135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25">
      <c r="A147" s="12" t="s">
        <v>136</v>
      </c>
      <c r="B147" s="7">
        <v>12210000</v>
      </c>
      <c r="C147" s="7">
        <v>3996000</v>
      </c>
      <c r="D147" s="7">
        <v>4164000</v>
      </c>
      <c r="E147" s="7">
        <v>4531000</v>
      </c>
      <c r="F147" s="7">
        <v>4637000</v>
      </c>
      <c r="G147" s="7">
        <v>4647000</v>
      </c>
      <c r="H147" s="7">
        <v>4691000</v>
      </c>
      <c r="I147" s="7">
        <v>4754000</v>
      </c>
      <c r="J147" s="7">
        <v>13452000</v>
      </c>
      <c r="K147" s="7">
        <v>12519000</v>
      </c>
    </row>
    <row r="148" spans="1:11" x14ac:dyDescent="0.25">
      <c r="A148" s="12" t="s">
        <v>17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25">
      <c r="A149" s="10" t="s">
        <v>137</v>
      </c>
      <c r="B149" s="9">
        <v>463959000</v>
      </c>
      <c r="C149" s="9">
        <v>459380000</v>
      </c>
      <c r="D149" s="9">
        <v>478073000</v>
      </c>
      <c r="E149" s="9">
        <v>515932000</v>
      </c>
      <c r="F149" s="9">
        <v>641121000</v>
      </c>
      <c r="G149" s="9">
        <v>678251000</v>
      </c>
      <c r="H149" s="9">
        <v>715811000</v>
      </c>
      <c r="I149" s="9">
        <v>701929000</v>
      </c>
      <c r="J149" s="9">
        <v>730273000</v>
      </c>
      <c r="K149" s="9">
        <v>643352000</v>
      </c>
    </row>
    <row r="150" spans="1:11" x14ac:dyDescent="0.25">
      <c r="A150" s="12" t="s">
        <v>138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25">
      <c r="A151" s="12" t="s">
        <v>139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</row>
    <row r="152" spans="1:11" x14ac:dyDescent="0.25">
      <c r="A152" s="12" t="s">
        <v>140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25">
      <c r="A153" s="12" t="s">
        <v>17</v>
      </c>
      <c r="B153" s="7">
        <v>463959000</v>
      </c>
      <c r="C153" s="7">
        <v>459380000</v>
      </c>
      <c r="D153" s="7">
        <v>478073000</v>
      </c>
      <c r="E153" s="7">
        <v>515932000</v>
      </c>
      <c r="F153" s="7">
        <v>641121000</v>
      </c>
      <c r="G153" s="7">
        <v>678251000</v>
      </c>
      <c r="H153" s="7">
        <v>715811000</v>
      </c>
      <c r="I153" s="7">
        <v>701929000</v>
      </c>
      <c r="J153" s="7">
        <v>730273000</v>
      </c>
      <c r="K153" s="7">
        <v>643352000</v>
      </c>
    </row>
    <row r="154" spans="1:11" x14ac:dyDescent="0.25">
      <c r="A154" s="8" t="s">
        <v>141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</row>
    <row r="155" spans="1:11" x14ac:dyDescent="0.25">
      <c r="A155" s="10" t="s">
        <v>142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</row>
    <row r="156" spans="1:11" x14ac:dyDescent="0.25">
      <c r="A156" s="10" t="s">
        <v>143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</row>
    <row r="157" spans="1:11" x14ac:dyDescent="0.25">
      <c r="A157" s="8" t="s">
        <v>144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</row>
    <row r="158" spans="1:11" x14ac:dyDescent="0.25">
      <c r="A158" s="10" t="s">
        <v>145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</row>
    <row r="159" spans="1:11" x14ac:dyDescent="0.25">
      <c r="A159" s="10" t="s">
        <v>146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</row>
    <row r="160" spans="1:11" x14ac:dyDescent="0.25">
      <c r="A160" s="10" t="s">
        <v>147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</row>
    <row r="161" spans="1:11" x14ac:dyDescent="0.25">
      <c r="A161" s="6" t="s">
        <v>148</v>
      </c>
      <c r="B161" s="9">
        <v>3214234000</v>
      </c>
      <c r="C161" s="9">
        <v>3330064000</v>
      </c>
      <c r="D161" s="9">
        <v>3626370000</v>
      </c>
      <c r="E161" s="9">
        <v>3496976000</v>
      </c>
      <c r="F161" s="9">
        <v>4184368000</v>
      </c>
      <c r="G161" s="9">
        <v>4044674000</v>
      </c>
      <c r="H161" s="9">
        <v>4155750000</v>
      </c>
      <c r="I161" s="9">
        <v>3802761000</v>
      </c>
      <c r="J161" s="9">
        <v>4149529000</v>
      </c>
      <c r="K161" s="9">
        <v>3893193000</v>
      </c>
    </row>
    <row r="162" spans="1:11" x14ac:dyDescent="0.25">
      <c r="A162" s="8" t="s">
        <v>149</v>
      </c>
      <c r="B162" s="11">
        <v>197020000</v>
      </c>
      <c r="C162" s="11">
        <v>215233000</v>
      </c>
      <c r="D162" s="11">
        <v>246757000</v>
      </c>
      <c r="E162" s="11">
        <v>268498000</v>
      </c>
      <c r="F162" s="11">
        <v>262518000</v>
      </c>
      <c r="G162" s="11">
        <v>282271000</v>
      </c>
      <c r="H162" s="11">
        <v>316749000</v>
      </c>
      <c r="I162" s="11">
        <v>340476000</v>
      </c>
      <c r="J162" s="11">
        <v>310990000</v>
      </c>
      <c r="K162" s="11">
        <v>293940000</v>
      </c>
    </row>
    <row r="163" spans="1:11" x14ac:dyDescent="0.25">
      <c r="A163" s="8" t="s">
        <v>150</v>
      </c>
      <c r="B163" s="11">
        <v>3017214000</v>
      </c>
      <c r="C163" s="11">
        <v>3114831000</v>
      </c>
      <c r="D163" s="11">
        <v>3379613000</v>
      </c>
      <c r="E163" s="11">
        <v>3228478000</v>
      </c>
      <c r="F163" s="11">
        <v>3921850000</v>
      </c>
      <c r="G163" s="11">
        <v>3762403000</v>
      </c>
      <c r="H163" s="11">
        <v>3839001000</v>
      </c>
      <c r="I163" s="11">
        <v>3462285000</v>
      </c>
      <c r="J163" s="11">
        <v>3838539000</v>
      </c>
      <c r="K163" s="11">
        <v>3599253000</v>
      </c>
    </row>
    <row r="164" spans="1:11" x14ac:dyDescent="0.25">
      <c r="A164" s="10" t="s">
        <v>151</v>
      </c>
      <c r="B164" s="9">
        <v>1407536000</v>
      </c>
      <c r="C164" s="9">
        <v>1447474000</v>
      </c>
      <c r="D164" s="9">
        <v>1447474000</v>
      </c>
      <c r="E164" s="9">
        <v>1576954000</v>
      </c>
      <c r="F164" s="9">
        <v>1576954000</v>
      </c>
      <c r="G164" s="9">
        <v>1576954000</v>
      </c>
      <c r="H164" s="9">
        <v>1576954000</v>
      </c>
      <c r="I164" s="9">
        <v>1576954000</v>
      </c>
      <c r="J164" s="9">
        <v>1576954000</v>
      </c>
      <c r="K164" s="9">
        <v>1576954000</v>
      </c>
    </row>
    <row r="165" spans="1:11" x14ac:dyDescent="0.25">
      <c r="A165" s="10" t="s">
        <v>152</v>
      </c>
      <c r="B165" s="9">
        <v>101081000</v>
      </c>
      <c r="C165" s="9">
        <v>107225000</v>
      </c>
      <c r="D165" s="9">
        <v>113767000</v>
      </c>
      <c r="E165" s="9">
        <v>-19849000</v>
      </c>
      <c r="F165" s="9">
        <v>-19833000</v>
      </c>
      <c r="G165" s="9">
        <v>-19833000</v>
      </c>
      <c r="H165" s="9">
        <v>-19833000</v>
      </c>
      <c r="I165" s="9">
        <v>-13366000</v>
      </c>
      <c r="J165" s="9">
        <v>-13366000</v>
      </c>
      <c r="K165" s="9">
        <v>-13366000</v>
      </c>
    </row>
    <row r="166" spans="1:11" x14ac:dyDescent="0.25">
      <c r="A166" s="12" t="s">
        <v>153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</row>
    <row r="167" spans="1:11" x14ac:dyDescent="0.25">
      <c r="A167" s="12" t="s">
        <v>154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</row>
    <row r="168" spans="1:11" x14ac:dyDescent="0.25">
      <c r="A168" s="12" t="s">
        <v>155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</row>
    <row r="169" spans="1:11" x14ac:dyDescent="0.25">
      <c r="A169" s="12" t="s">
        <v>156</v>
      </c>
      <c r="B169" s="7">
        <v>3084000</v>
      </c>
      <c r="C169" s="7">
        <v>3100000</v>
      </c>
      <c r="D169" s="7">
        <v>3071000</v>
      </c>
      <c r="E169" s="7">
        <v>3071000</v>
      </c>
      <c r="F169" s="7">
        <v>3061000</v>
      </c>
      <c r="G169" s="7">
        <v>3061000</v>
      </c>
      <c r="H169" s="7">
        <v>3061000</v>
      </c>
      <c r="I169" s="7">
        <v>3061000</v>
      </c>
      <c r="J169" s="7">
        <v>3061000</v>
      </c>
      <c r="K169" s="7">
        <v>3061000</v>
      </c>
    </row>
    <row r="170" spans="1:11" x14ac:dyDescent="0.25">
      <c r="A170" s="12" t="s">
        <v>157</v>
      </c>
      <c r="B170" s="7">
        <v>-29009000</v>
      </c>
      <c r="C170" s="7">
        <v>-28988000</v>
      </c>
      <c r="D170" s="7">
        <v>-28920000</v>
      </c>
      <c r="E170" s="7">
        <v>-28920000</v>
      </c>
      <c r="F170" s="7">
        <v>-28894000</v>
      </c>
      <c r="G170" s="7">
        <v>-28894000</v>
      </c>
      <c r="H170" s="7">
        <v>-28894000</v>
      </c>
      <c r="I170" s="7">
        <v>-28894000</v>
      </c>
      <c r="J170" s="7">
        <v>-28894000</v>
      </c>
      <c r="K170" s="7">
        <v>-28894000</v>
      </c>
    </row>
    <row r="171" spans="1:11" x14ac:dyDescent="0.25">
      <c r="A171" s="12" t="s">
        <v>158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</row>
    <row r="172" spans="1:11" x14ac:dyDescent="0.25">
      <c r="A172" s="12" t="s">
        <v>17</v>
      </c>
      <c r="B172" s="7">
        <v>127006000</v>
      </c>
      <c r="C172" s="7">
        <v>133113000</v>
      </c>
      <c r="D172" s="7">
        <v>139616000</v>
      </c>
      <c r="E172" s="7">
        <v>6000000</v>
      </c>
      <c r="F172" s="7">
        <v>6000000</v>
      </c>
      <c r="G172" s="7">
        <v>6000000</v>
      </c>
      <c r="H172" s="7">
        <v>6000000</v>
      </c>
      <c r="I172" s="7">
        <v>12467000</v>
      </c>
      <c r="J172" s="7">
        <v>12467000</v>
      </c>
      <c r="K172" s="7">
        <v>12467000</v>
      </c>
    </row>
    <row r="173" spans="1:11" x14ac:dyDescent="0.25">
      <c r="A173" s="10" t="s">
        <v>159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4" spans="1:11" x14ac:dyDescent="0.25">
      <c r="A174" s="10" t="s">
        <v>160</v>
      </c>
      <c r="B174" s="9">
        <v>393156000</v>
      </c>
      <c r="C174" s="9">
        <v>393156000</v>
      </c>
      <c r="D174" s="9">
        <v>364959000</v>
      </c>
      <c r="E174" s="9">
        <v>606530000</v>
      </c>
      <c r="F174" s="9">
        <v>606530000</v>
      </c>
      <c r="G174" s="9">
        <v>606530000</v>
      </c>
      <c r="H174" s="9">
        <v>606530000</v>
      </c>
      <c r="I174" s="9">
        <v>120921000</v>
      </c>
      <c r="J174" s="9">
        <v>120921000</v>
      </c>
      <c r="K174" s="9">
        <v>120921000</v>
      </c>
    </row>
    <row r="175" spans="1:11" x14ac:dyDescent="0.25">
      <c r="A175" s="12" t="s">
        <v>161</v>
      </c>
      <c r="B175" s="7">
        <v>79510000</v>
      </c>
      <c r="C175" s="7">
        <v>79510000</v>
      </c>
      <c r="D175" s="7">
        <v>79510000</v>
      </c>
      <c r="E175" s="7">
        <v>96648000</v>
      </c>
      <c r="F175" s="7">
        <v>96648000</v>
      </c>
      <c r="G175" s="7">
        <v>96648000</v>
      </c>
      <c r="H175" s="7">
        <v>96648000</v>
      </c>
      <c r="I175" s="7">
        <v>96648000</v>
      </c>
      <c r="J175" s="7">
        <v>96648000</v>
      </c>
      <c r="K175" s="7">
        <v>96648000</v>
      </c>
    </row>
    <row r="176" spans="1:11" x14ac:dyDescent="0.25">
      <c r="A176" s="12" t="s">
        <v>162</v>
      </c>
      <c r="B176" s="7">
        <v>313646000</v>
      </c>
      <c r="C176" s="7">
        <v>313646000</v>
      </c>
      <c r="D176" s="7">
        <v>285449000</v>
      </c>
      <c r="E176" s="7">
        <v>509882000</v>
      </c>
      <c r="F176" s="7">
        <v>509882000</v>
      </c>
      <c r="G176" s="7">
        <v>509882000</v>
      </c>
      <c r="H176" s="7">
        <v>509882000</v>
      </c>
      <c r="I176" s="7">
        <v>24273000</v>
      </c>
      <c r="J176" s="7">
        <v>24273000</v>
      </c>
      <c r="K176" s="7">
        <v>24273000</v>
      </c>
    </row>
    <row r="177" spans="1:11" x14ac:dyDescent="0.25">
      <c r="A177" s="12" t="s">
        <v>163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</row>
    <row r="178" spans="1:11" x14ac:dyDescent="0.25">
      <c r="A178" s="12" t="s">
        <v>164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</row>
    <row r="179" spans="1:11" x14ac:dyDescent="0.25">
      <c r="A179" s="12" t="s">
        <v>165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</row>
    <row r="180" spans="1:11" x14ac:dyDescent="0.25">
      <c r="A180" s="12" t="s">
        <v>166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</row>
    <row r="181" spans="1:11" x14ac:dyDescent="0.25">
      <c r="A181" s="12" t="s">
        <v>167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</row>
    <row r="182" spans="1:11" x14ac:dyDescent="0.25">
      <c r="A182" s="12" t="s">
        <v>168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</row>
    <row r="183" spans="1:11" x14ac:dyDescent="0.25">
      <c r="A183" s="12" t="s">
        <v>169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</row>
    <row r="184" spans="1:11" x14ac:dyDescent="0.25">
      <c r="A184" s="12" t="s">
        <v>17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</row>
    <row r="185" spans="1:11" x14ac:dyDescent="0.25">
      <c r="A185" s="10" t="s">
        <v>170</v>
      </c>
      <c r="B185" s="9">
        <v>65004000</v>
      </c>
      <c r="C185" s="9">
        <v>175221000</v>
      </c>
      <c r="D185" s="9">
        <v>301864000</v>
      </c>
      <c r="E185" s="9">
        <v>0</v>
      </c>
      <c r="F185" s="9">
        <v>10686000</v>
      </c>
      <c r="G185" s="9">
        <v>-340115000</v>
      </c>
      <c r="H185" s="9">
        <v>-357441000</v>
      </c>
      <c r="I185" s="9">
        <v>0</v>
      </c>
      <c r="J185" s="9">
        <v>53010000</v>
      </c>
      <c r="K185" s="9">
        <v>269323000</v>
      </c>
    </row>
    <row r="186" spans="1:11" x14ac:dyDescent="0.25">
      <c r="A186" s="10" t="s">
        <v>171</v>
      </c>
      <c r="B186" s="9">
        <v>73252000</v>
      </c>
      <c r="C186" s="9">
        <v>73437000</v>
      </c>
      <c r="D186" s="9">
        <v>71508000</v>
      </c>
      <c r="E186" s="9">
        <v>69597000</v>
      </c>
      <c r="F186" s="9">
        <v>67956000</v>
      </c>
      <c r="G186" s="9">
        <v>66298000</v>
      </c>
      <c r="H186" s="9">
        <v>64641000</v>
      </c>
      <c r="I186" s="9">
        <v>63109000</v>
      </c>
      <c r="J186" s="9">
        <v>61498000</v>
      </c>
      <c r="K186" s="9">
        <v>59868000</v>
      </c>
    </row>
    <row r="187" spans="1:11" x14ac:dyDescent="0.25">
      <c r="A187" s="10" t="s">
        <v>172</v>
      </c>
      <c r="B187" s="9">
        <v>1019657000</v>
      </c>
      <c r="C187" s="9">
        <v>960790000</v>
      </c>
      <c r="D187" s="9">
        <v>1122513000</v>
      </c>
      <c r="E187" s="9">
        <v>1030163000</v>
      </c>
      <c r="F187" s="9">
        <v>1714474000</v>
      </c>
      <c r="G187" s="9">
        <v>1907486000</v>
      </c>
      <c r="H187" s="9">
        <v>2003067000</v>
      </c>
      <c r="I187" s="9">
        <v>1864725000</v>
      </c>
      <c r="J187" s="9">
        <v>2189580000</v>
      </c>
      <c r="K187" s="9">
        <v>1735611000</v>
      </c>
    </row>
    <row r="188" spans="1:11" x14ac:dyDescent="0.25">
      <c r="A188" s="10" t="s">
        <v>173</v>
      </c>
      <c r="B188" s="9">
        <v>-42472000</v>
      </c>
      <c r="C188" s="9">
        <v>-42472000</v>
      </c>
      <c r="D188" s="9">
        <v>-42472000</v>
      </c>
      <c r="E188" s="9">
        <v>-34917000</v>
      </c>
      <c r="F188" s="9">
        <v>-34917000</v>
      </c>
      <c r="G188" s="9">
        <v>-34917000</v>
      </c>
      <c r="H188" s="9">
        <v>-34917000</v>
      </c>
      <c r="I188" s="9">
        <v>-150058000</v>
      </c>
      <c r="J188" s="9">
        <v>-150058000</v>
      </c>
      <c r="K188" s="9">
        <v>-150058000</v>
      </c>
    </row>
    <row r="189" spans="1:11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3" t="s">
        <v>174</v>
      </c>
      <c r="B190" s="5" t="s">
        <v>2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  <c r="K190" s="5" t="s">
        <v>2</v>
      </c>
    </row>
    <row r="191" spans="1:11" x14ac:dyDescent="0.25">
      <c r="A191" s="3" t="s">
        <v>175</v>
      </c>
      <c r="B191" s="5">
        <v>3</v>
      </c>
      <c r="C191" s="5">
        <v>3</v>
      </c>
      <c r="D191" s="5">
        <v>3</v>
      </c>
      <c r="E191" s="5">
        <v>3</v>
      </c>
      <c r="F191" s="5">
        <v>3</v>
      </c>
      <c r="G191" s="5">
        <v>3</v>
      </c>
      <c r="H191" s="5">
        <v>3</v>
      </c>
      <c r="I191" s="5">
        <v>3</v>
      </c>
      <c r="J191" s="5">
        <v>3</v>
      </c>
      <c r="K191" s="5">
        <v>3</v>
      </c>
    </row>
    <row r="192" spans="1:11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3" t="s">
        <v>176</v>
      </c>
      <c r="B193" s="7">
        <v>2468119000</v>
      </c>
      <c r="C193" s="7">
        <v>2667331000</v>
      </c>
      <c r="D193" s="7">
        <v>2542311000</v>
      </c>
      <c r="E193" s="7">
        <v>2338634000</v>
      </c>
      <c r="F193" s="7">
        <v>2224560000</v>
      </c>
      <c r="G193" s="7">
        <v>1171844000</v>
      </c>
      <c r="H193" s="7">
        <v>2514756000</v>
      </c>
      <c r="I193" s="7">
        <v>2849408000</v>
      </c>
      <c r="J193" s="7">
        <v>3133096000</v>
      </c>
      <c r="K193" s="7">
        <v>3183883000</v>
      </c>
    </row>
    <row r="194" spans="1:11" x14ac:dyDescent="0.25">
      <c r="A194" s="3" t="s">
        <v>177</v>
      </c>
      <c r="B194" s="7">
        <v>2169809000</v>
      </c>
      <c r="C194" s="7">
        <v>2330756000</v>
      </c>
      <c r="D194" s="7">
        <v>2219621000</v>
      </c>
      <c r="E194" s="7">
        <v>2110991000</v>
      </c>
      <c r="F194" s="7">
        <v>2040204000</v>
      </c>
      <c r="G194" s="7">
        <v>1308180000</v>
      </c>
      <c r="H194" s="7">
        <v>2259081000</v>
      </c>
      <c r="I194" s="7">
        <v>2587790000</v>
      </c>
      <c r="J194" s="7">
        <v>2723380000</v>
      </c>
      <c r="K194" s="7">
        <v>2763165000</v>
      </c>
    </row>
    <row r="195" spans="1:11" x14ac:dyDescent="0.25">
      <c r="A195" s="3" t="s">
        <v>178</v>
      </c>
      <c r="B195" s="7">
        <v>298310000</v>
      </c>
      <c r="C195" s="7">
        <v>336575000</v>
      </c>
      <c r="D195" s="7">
        <v>322690000</v>
      </c>
      <c r="E195" s="7">
        <v>227643000</v>
      </c>
      <c r="F195" s="7">
        <v>184356000</v>
      </c>
      <c r="G195" s="7">
        <v>-136336000</v>
      </c>
      <c r="H195" s="7">
        <v>255675000</v>
      </c>
      <c r="I195" s="7">
        <v>261618000</v>
      </c>
      <c r="J195" s="7">
        <v>409716000</v>
      </c>
      <c r="K195" s="7">
        <v>420718000</v>
      </c>
    </row>
    <row r="196" spans="1:11" x14ac:dyDescent="0.25">
      <c r="A196" s="3" t="s">
        <v>179</v>
      </c>
      <c r="B196" s="7">
        <v>154543000</v>
      </c>
      <c r="C196" s="7">
        <v>134923000</v>
      </c>
      <c r="D196" s="7">
        <v>95953000</v>
      </c>
      <c r="E196" s="7">
        <v>123544000</v>
      </c>
      <c r="F196" s="7">
        <v>98860000</v>
      </c>
      <c r="G196" s="7">
        <v>195698000</v>
      </c>
      <c r="H196" s="7">
        <v>184196000</v>
      </c>
      <c r="I196" s="7">
        <v>271280000</v>
      </c>
      <c r="J196" s="7">
        <v>186635000</v>
      </c>
      <c r="K196" s="7">
        <v>-33573000</v>
      </c>
    </row>
    <row r="197" spans="1:11" x14ac:dyDescent="0.25">
      <c r="A197" s="6" t="s">
        <v>180</v>
      </c>
      <c r="B197" s="9">
        <v>13873000</v>
      </c>
      <c r="C197" s="9">
        <v>9142000</v>
      </c>
      <c r="D197" s="9">
        <v>17453000</v>
      </c>
      <c r="E197" s="9">
        <v>13310000</v>
      </c>
      <c r="F197" s="9">
        <v>13258000</v>
      </c>
      <c r="G197" s="9">
        <v>13579000</v>
      </c>
      <c r="H197" s="9">
        <v>11754000</v>
      </c>
      <c r="I197" s="9">
        <v>23221000</v>
      </c>
      <c r="J197" s="9">
        <v>22412000</v>
      </c>
      <c r="K197" s="9">
        <v>12457000</v>
      </c>
    </row>
    <row r="198" spans="1:11" x14ac:dyDescent="0.25">
      <c r="A198" s="6" t="s">
        <v>181</v>
      </c>
      <c r="B198" s="9">
        <v>127101000</v>
      </c>
      <c r="C198" s="9">
        <v>124016000</v>
      </c>
      <c r="D198" s="9">
        <v>119442000</v>
      </c>
      <c r="E198" s="9">
        <v>131495000</v>
      </c>
      <c r="F198" s="9">
        <v>116998000</v>
      </c>
      <c r="G198" s="9">
        <v>118786000</v>
      </c>
      <c r="H198" s="9">
        <v>123363000</v>
      </c>
      <c r="I198" s="9">
        <v>142684000</v>
      </c>
      <c r="J198" s="9">
        <v>159462000</v>
      </c>
      <c r="K198" s="9">
        <v>166679000</v>
      </c>
    </row>
    <row r="199" spans="1:11" x14ac:dyDescent="0.25">
      <c r="A199" s="6" t="s">
        <v>182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</row>
    <row r="200" spans="1:11" x14ac:dyDescent="0.25">
      <c r="A200" s="6" t="s">
        <v>183</v>
      </c>
      <c r="B200" s="9">
        <v>-5841000</v>
      </c>
      <c r="C200" s="9">
        <v>1988000</v>
      </c>
      <c r="D200" s="9">
        <v>50859000</v>
      </c>
      <c r="E200" s="9">
        <v>23765000</v>
      </c>
      <c r="F200" s="9">
        <v>25764000</v>
      </c>
      <c r="G200" s="9">
        <v>-61064000</v>
      </c>
      <c r="H200" s="9">
        <v>-49618000</v>
      </c>
      <c r="I200" s="9">
        <v>-103516000</v>
      </c>
      <c r="J200" s="9">
        <v>-5692000</v>
      </c>
      <c r="K200" s="9">
        <v>202057000</v>
      </c>
    </row>
    <row r="201" spans="1:11" x14ac:dyDescent="0.25">
      <c r="A201" s="6" t="s">
        <v>184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</row>
    <row r="202" spans="1:11" x14ac:dyDescent="0.25">
      <c r="A202" s="6" t="s">
        <v>185</v>
      </c>
      <c r="B202" s="9">
        <v>-7728000</v>
      </c>
      <c r="C202" s="9">
        <v>-3753000</v>
      </c>
      <c r="D202" s="9">
        <v>-9917000</v>
      </c>
      <c r="E202" s="9">
        <v>-2504000</v>
      </c>
      <c r="F202" s="9">
        <v>5632000</v>
      </c>
      <c r="G202" s="9">
        <v>-2269000</v>
      </c>
      <c r="H202" s="9">
        <v>539000</v>
      </c>
      <c r="I202" s="9">
        <v>-1859000</v>
      </c>
      <c r="J202" s="9">
        <v>931000</v>
      </c>
      <c r="K202" s="9">
        <v>10652000</v>
      </c>
    </row>
    <row r="203" spans="1:11" x14ac:dyDescent="0.25">
      <c r="A203" s="3" t="s">
        <v>186</v>
      </c>
      <c r="B203" s="7">
        <v>143767000</v>
      </c>
      <c r="C203" s="7">
        <v>201652000</v>
      </c>
      <c r="D203" s="7">
        <v>226737000</v>
      </c>
      <c r="E203" s="7">
        <v>104099000</v>
      </c>
      <c r="F203" s="7">
        <v>85496000</v>
      </c>
      <c r="G203" s="7">
        <v>-332034000</v>
      </c>
      <c r="H203" s="7">
        <v>71479000</v>
      </c>
      <c r="I203" s="7">
        <v>-9662000.0000999998</v>
      </c>
      <c r="J203" s="7">
        <v>223081000</v>
      </c>
      <c r="K203" s="7">
        <v>454291000</v>
      </c>
    </row>
    <row r="204" spans="1:11" x14ac:dyDescent="0.25">
      <c r="A204" s="3" t="s">
        <v>187</v>
      </c>
      <c r="B204" s="7">
        <v>-77802000</v>
      </c>
      <c r="C204" s="7">
        <v>-49704000</v>
      </c>
      <c r="D204" s="7">
        <v>-24105000</v>
      </c>
      <c r="E204" s="7">
        <v>-18293000</v>
      </c>
      <c r="F204" s="7">
        <v>-49580000</v>
      </c>
      <c r="G204" s="7">
        <v>-84121000</v>
      </c>
      <c r="H204" s="7">
        <v>-42240000</v>
      </c>
      <c r="I204" s="7">
        <v>-57045000</v>
      </c>
      <c r="J204" s="7">
        <v>-59042000</v>
      </c>
      <c r="K204" s="7">
        <v>-68543000</v>
      </c>
    </row>
    <row r="205" spans="1:11" x14ac:dyDescent="0.25">
      <c r="A205" s="6" t="s">
        <v>188</v>
      </c>
      <c r="B205" s="9">
        <v>5792000</v>
      </c>
      <c r="C205" s="9">
        <v>4680000</v>
      </c>
      <c r="D205" s="9">
        <v>30214000</v>
      </c>
      <c r="E205" s="9">
        <v>24658000</v>
      </c>
      <c r="F205" s="9">
        <v>3421000</v>
      </c>
      <c r="G205" s="9">
        <v>7185000</v>
      </c>
      <c r="H205" s="9">
        <v>4346000</v>
      </c>
      <c r="I205" s="9">
        <v>18414000</v>
      </c>
      <c r="J205" s="9">
        <v>4640000</v>
      </c>
      <c r="K205" s="9">
        <v>67079000</v>
      </c>
    </row>
    <row r="206" spans="1:11" x14ac:dyDescent="0.25">
      <c r="A206" s="6" t="s">
        <v>189</v>
      </c>
      <c r="B206" s="9">
        <v>83594000</v>
      </c>
      <c r="C206" s="9">
        <v>54384000</v>
      </c>
      <c r="D206" s="9">
        <v>54319000</v>
      </c>
      <c r="E206" s="9">
        <v>42951000</v>
      </c>
      <c r="F206" s="9">
        <v>53001000</v>
      </c>
      <c r="G206" s="9">
        <v>91306000</v>
      </c>
      <c r="H206" s="9">
        <v>46586000</v>
      </c>
      <c r="I206" s="9">
        <v>75459000</v>
      </c>
      <c r="J206" s="9">
        <v>63682000</v>
      </c>
      <c r="K206" s="9">
        <v>135622000</v>
      </c>
    </row>
    <row r="207" spans="1:11" x14ac:dyDescent="0.25">
      <c r="A207" s="3" t="s">
        <v>190</v>
      </c>
      <c r="B207" s="7">
        <v>65965000</v>
      </c>
      <c r="C207" s="7">
        <v>151948000</v>
      </c>
      <c r="D207" s="7">
        <v>202632000</v>
      </c>
      <c r="E207" s="7">
        <v>85806000</v>
      </c>
      <c r="F207" s="7">
        <v>35916000</v>
      </c>
      <c r="G207" s="7">
        <v>-416155000</v>
      </c>
      <c r="H207" s="7">
        <v>29239000</v>
      </c>
      <c r="I207" s="7">
        <v>-66707000</v>
      </c>
      <c r="J207" s="7">
        <v>164039000</v>
      </c>
      <c r="K207" s="7">
        <v>385748000</v>
      </c>
    </row>
    <row r="208" spans="1:11" x14ac:dyDescent="0.25">
      <c r="A208" s="3" t="s">
        <v>191</v>
      </c>
      <c r="B208" s="7">
        <v>-15089000</v>
      </c>
      <c r="C208" s="7">
        <v>21886000</v>
      </c>
      <c r="D208" s="7">
        <v>55824000</v>
      </c>
      <c r="E208" s="7">
        <v>22315000</v>
      </c>
      <c r="F208" s="7">
        <v>5590000</v>
      </c>
      <c r="G208" s="7">
        <v>-64469000</v>
      </c>
      <c r="H208" s="7">
        <v>34932000</v>
      </c>
      <c r="I208" s="7">
        <v>26154000</v>
      </c>
      <c r="J208" s="7">
        <v>86037000</v>
      </c>
      <c r="K208" s="7">
        <v>150726000</v>
      </c>
    </row>
    <row r="209" spans="1:11" x14ac:dyDescent="0.25">
      <c r="A209" s="6" t="s">
        <v>192</v>
      </c>
      <c r="B209" s="9">
        <v>60493000</v>
      </c>
      <c r="C209" s="9">
        <v>50226000</v>
      </c>
      <c r="D209" s="9">
        <v>46957000</v>
      </c>
      <c r="E209" s="9">
        <v>20564000</v>
      </c>
      <c r="F209" s="9">
        <v>36588000</v>
      </c>
      <c r="G209" s="9">
        <v>-4858000</v>
      </c>
      <c r="H209" s="9">
        <v>29013000</v>
      </c>
      <c r="I209" s="9">
        <v>27830000</v>
      </c>
      <c r="J209" s="9">
        <v>78198000</v>
      </c>
      <c r="K209" s="9">
        <v>167367000</v>
      </c>
    </row>
    <row r="210" spans="1:11" x14ac:dyDescent="0.25">
      <c r="A210" s="6" t="s">
        <v>193</v>
      </c>
      <c r="B210" s="9">
        <v>-75582000</v>
      </c>
      <c r="C210" s="9">
        <v>-28340000</v>
      </c>
      <c r="D210" s="9">
        <v>8867000</v>
      </c>
      <c r="E210" s="9">
        <v>1751000</v>
      </c>
      <c r="F210" s="9">
        <v>-30998000</v>
      </c>
      <c r="G210" s="9">
        <v>-59611000</v>
      </c>
      <c r="H210" s="9">
        <v>5919000</v>
      </c>
      <c r="I210" s="9">
        <v>-1676000</v>
      </c>
      <c r="J210" s="9">
        <v>7839000</v>
      </c>
      <c r="K210" s="9">
        <v>-16641000</v>
      </c>
    </row>
    <row r="211" spans="1:11" x14ac:dyDescent="0.25">
      <c r="A211" s="3" t="s">
        <v>194</v>
      </c>
      <c r="B211" s="7">
        <v>81054000</v>
      </c>
      <c r="C211" s="7">
        <v>130062000</v>
      </c>
      <c r="D211" s="7">
        <v>146808000</v>
      </c>
      <c r="E211" s="7">
        <v>63491000</v>
      </c>
      <c r="F211" s="7">
        <v>30326000</v>
      </c>
      <c r="G211" s="7">
        <v>-351686000</v>
      </c>
      <c r="H211" s="7">
        <v>-5693000</v>
      </c>
      <c r="I211" s="7">
        <v>-92861000</v>
      </c>
      <c r="J211" s="7">
        <v>78002000</v>
      </c>
      <c r="K211" s="7">
        <v>235022000</v>
      </c>
    </row>
    <row r="212" spans="1:11" x14ac:dyDescent="0.25">
      <c r="A212" s="3" t="s">
        <v>195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</row>
    <row r="213" spans="1:11" x14ac:dyDescent="0.25">
      <c r="A213" s="6" t="s">
        <v>196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</row>
    <row r="214" spans="1:11" x14ac:dyDescent="0.25">
      <c r="A214" s="6" t="s">
        <v>197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</row>
    <row r="215" spans="1:11" x14ac:dyDescent="0.25">
      <c r="A215" s="3" t="s">
        <v>198</v>
      </c>
      <c r="B215" s="7">
        <v>81054000</v>
      </c>
      <c r="C215" s="7">
        <v>130062000</v>
      </c>
      <c r="D215" s="7">
        <v>146808000</v>
      </c>
      <c r="E215" s="7">
        <v>63491000</v>
      </c>
      <c r="F215" s="7">
        <v>30326000</v>
      </c>
      <c r="G215" s="7">
        <v>-351686000</v>
      </c>
      <c r="H215" s="7">
        <v>-5693000</v>
      </c>
      <c r="I215" s="7">
        <v>-92861000</v>
      </c>
      <c r="J215" s="7">
        <v>78002000</v>
      </c>
      <c r="K215" s="7">
        <v>235022000</v>
      </c>
    </row>
    <row r="216" spans="1:11" x14ac:dyDescent="0.25">
      <c r="A216" s="3" t="s">
        <v>199</v>
      </c>
      <c r="B216" s="7">
        <v>17956000</v>
      </c>
      <c r="C216" s="7">
        <v>19672000</v>
      </c>
      <c r="D216" s="7">
        <v>21970000</v>
      </c>
      <c r="E216" s="7">
        <v>24382000</v>
      </c>
      <c r="F216" s="7">
        <v>21176000</v>
      </c>
      <c r="G216" s="7">
        <v>667000</v>
      </c>
      <c r="H216" s="7">
        <v>13184000</v>
      </c>
      <c r="I216" s="7">
        <v>36839000</v>
      </c>
      <c r="J216" s="7">
        <v>26500000</v>
      </c>
      <c r="K216" s="7">
        <v>20235000</v>
      </c>
    </row>
    <row r="217" spans="1:11" x14ac:dyDescent="0.25">
      <c r="A217" s="3" t="s">
        <v>200</v>
      </c>
      <c r="B217" s="7">
        <v>63098000</v>
      </c>
      <c r="C217" s="7">
        <v>110390000</v>
      </c>
      <c r="D217" s="7">
        <v>124838000</v>
      </c>
      <c r="E217" s="7">
        <v>39109000</v>
      </c>
      <c r="F217" s="7">
        <v>9150000</v>
      </c>
      <c r="G217" s="7">
        <v>-352353000</v>
      </c>
      <c r="H217" s="7">
        <v>-18877000</v>
      </c>
      <c r="I217" s="7">
        <v>-129700000</v>
      </c>
      <c r="J217" s="7">
        <v>51502000</v>
      </c>
      <c r="K217" s="7">
        <v>214787000</v>
      </c>
    </row>
    <row r="218" spans="1:11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25">
      <c r="A219" s="3" t="s">
        <v>201</v>
      </c>
      <c r="B219" s="5" t="s">
        <v>2</v>
      </c>
      <c r="C219" s="5" t="s">
        <v>2</v>
      </c>
      <c r="D219" s="5" t="s">
        <v>2</v>
      </c>
      <c r="E219" s="5" t="s">
        <v>2</v>
      </c>
      <c r="F219" s="5" t="s">
        <v>2</v>
      </c>
      <c r="G219" s="5" t="s">
        <v>2</v>
      </c>
      <c r="H219" s="5" t="s">
        <v>2</v>
      </c>
      <c r="I219" s="5" t="s">
        <v>2</v>
      </c>
      <c r="J219" s="5" t="s">
        <v>2</v>
      </c>
      <c r="K219" s="5" t="s">
        <v>2</v>
      </c>
    </row>
    <row r="220" spans="1:11" x14ac:dyDescent="0.25">
      <c r="A220" s="3" t="s">
        <v>175</v>
      </c>
      <c r="B220" s="5">
        <v>3</v>
      </c>
      <c r="C220" s="5">
        <v>3</v>
      </c>
      <c r="D220" s="5">
        <v>3</v>
      </c>
      <c r="E220" s="5">
        <v>3</v>
      </c>
      <c r="F220" s="5">
        <v>3</v>
      </c>
      <c r="G220" s="5">
        <v>3</v>
      </c>
      <c r="H220" s="5">
        <v>3</v>
      </c>
      <c r="I220" s="5">
        <v>3</v>
      </c>
      <c r="J220" s="5">
        <v>3</v>
      </c>
      <c r="K220" s="5">
        <v>3</v>
      </c>
    </row>
    <row r="221" spans="1:11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25">
      <c r="A222" s="3" t="s">
        <v>202</v>
      </c>
      <c r="B222" s="7">
        <v>-196078000</v>
      </c>
      <c r="C222" s="7">
        <v>232741000</v>
      </c>
      <c r="D222" s="7">
        <v>235128000</v>
      </c>
      <c r="E222" s="7">
        <v>385892000</v>
      </c>
      <c r="F222" s="7">
        <v>-124120000</v>
      </c>
      <c r="G222" s="7">
        <v>-240313000</v>
      </c>
      <c r="H222" s="7">
        <v>218623000</v>
      </c>
      <c r="I222" s="7">
        <v>258979000</v>
      </c>
      <c r="J222" s="7">
        <v>-130975000</v>
      </c>
      <c r="K222" s="7">
        <v>75540000</v>
      </c>
    </row>
    <row r="223" spans="1:11" x14ac:dyDescent="0.25">
      <c r="A223" s="6" t="s">
        <v>203</v>
      </c>
      <c r="B223" s="9">
        <v>248087000</v>
      </c>
      <c r="C223" s="9">
        <v>296858000</v>
      </c>
      <c r="D223" s="9">
        <v>319741000</v>
      </c>
      <c r="E223" s="9">
        <v>314194000</v>
      </c>
      <c r="F223" s="9">
        <v>211886000</v>
      </c>
      <c r="G223" s="9">
        <v>-152705000</v>
      </c>
      <c r="H223" s="9">
        <v>226048000</v>
      </c>
      <c r="I223" s="9">
        <v>220434000</v>
      </c>
      <c r="J223" s="9">
        <v>392973000</v>
      </c>
      <c r="K223" s="9">
        <v>354586000</v>
      </c>
    </row>
    <row r="224" spans="1:11" x14ac:dyDescent="0.25">
      <c r="A224" s="8" t="s">
        <v>204</v>
      </c>
      <c r="B224" s="11">
        <v>81054000</v>
      </c>
      <c r="C224" s="11">
        <v>130062000</v>
      </c>
      <c r="D224" s="11">
        <v>146808000</v>
      </c>
      <c r="E224" s="11">
        <v>63491000</v>
      </c>
      <c r="F224" s="11">
        <v>30326000</v>
      </c>
      <c r="G224" s="11">
        <v>-351686000</v>
      </c>
      <c r="H224" s="11">
        <v>-5692999.9998000003</v>
      </c>
      <c r="I224" s="11">
        <v>-92861000</v>
      </c>
      <c r="J224" s="11">
        <v>78002000</v>
      </c>
      <c r="K224" s="11">
        <v>235022000</v>
      </c>
    </row>
    <row r="225" spans="1:11" x14ac:dyDescent="0.25">
      <c r="A225" s="8" t="s">
        <v>205</v>
      </c>
      <c r="B225" s="11">
        <v>98743000</v>
      </c>
      <c r="C225" s="11">
        <v>102515000</v>
      </c>
      <c r="D225" s="11">
        <v>106911000</v>
      </c>
      <c r="E225" s="11">
        <v>111385000</v>
      </c>
      <c r="F225" s="11">
        <v>119472000</v>
      </c>
      <c r="G225" s="11">
        <v>132517000</v>
      </c>
      <c r="H225" s="11">
        <v>136197000</v>
      </c>
      <c r="I225" s="11">
        <v>168675000</v>
      </c>
      <c r="J225" s="11">
        <v>144857000</v>
      </c>
      <c r="K225" s="11">
        <v>138439000</v>
      </c>
    </row>
    <row r="226" spans="1:11" x14ac:dyDescent="0.25">
      <c r="A226" s="8" t="s">
        <v>206</v>
      </c>
      <c r="B226" s="11">
        <v>79644000</v>
      </c>
      <c r="C226" s="11">
        <v>44826000</v>
      </c>
      <c r="D226" s="11">
        <v>38705000</v>
      </c>
      <c r="E226" s="11">
        <v>25784000</v>
      </c>
      <c r="F226" s="11">
        <v>37248000</v>
      </c>
      <c r="G226" s="11">
        <v>52235000</v>
      </c>
      <c r="H226" s="11">
        <v>55024000</v>
      </c>
      <c r="I226" s="11">
        <v>53256000</v>
      </c>
      <c r="J226" s="11">
        <v>56355000</v>
      </c>
      <c r="K226" s="11">
        <v>109845000</v>
      </c>
    </row>
    <row r="227" spans="1:11" x14ac:dyDescent="0.25">
      <c r="A227" s="8" t="s">
        <v>207</v>
      </c>
      <c r="B227" s="11">
        <v>-5224000</v>
      </c>
      <c r="C227" s="11">
        <v>5224000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</row>
    <row r="228" spans="1:11" x14ac:dyDescent="0.25">
      <c r="A228" s="8" t="s">
        <v>208</v>
      </c>
      <c r="B228" s="11">
        <v>4252000</v>
      </c>
      <c r="C228" s="11">
        <v>5068000</v>
      </c>
      <c r="D228" s="11">
        <v>11907000</v>
      </c>
      <c r="E228" s="11">
        <v>4288000</v>
      </c>
      <c r="F228" s="11">
        <v>18588000</v>
      </c>
      <c r="G228" s="11">
        <v>32876000</v>
      </c>
      <c r="H228" s="11">
        <v>-2097000</v>
      </c>
      <c r="I228" s="11">
        <v>51753000</v>
      </c>
      <c r="J228" s="11">
        <v>4364000</v>
      </c>
      <c r="K228" s="11">
        <v>4005000</v>
      </c>
    </row>
    <row r="229" spans="1:11" x14ac:dyDescent="0.25">
      <c r="A229" s="8" t="s">
        <v>209</v>
      </c>
      <c r="B229" s="11">
        <v>7728000</v>
      </c>
      <c r="C229" s="11">
        <v>3753000</v>
      </c>
      <c r="D229" s="11">
        <v>9917000</v>
      </c>
      <c r="E229" s="11">
        <v>2504000</v>
      </c>
      <c r="F229" s="11">
        <v>-5632000</v>
      </c>
      <c r="G229" s="11">
        <v>2269000</v>
      </c>
      <c r="H229" s="11">
        <v>-539000</v>
      </c>
      <c r="I229" s="11">
        <v>1859000</v>
      </c>
      <c r="J229" s="11">
        <v>-931000</v>
      </c>
      <c r="K229" s="11">
        <v>-10652000</v>
      </c>
    </row>
    <row r="230" spans="1:11" x14ac:dyDescent="0.25">
      <c r="A230" s="8" t="s">
        <v>210</v>
      </c>
      <c r="B230" s="11">
        <v>-15089000</v>
      </c>
      <c r="C230" s="11">
        <v>21886000</v>
      </c>
      <c r="D230" s="11">
        <v>55824000</v>
      </c>
      <c r="E230" s="11">
        <v>22315000</v>
      </c>
      <c r="F230" s="11">
        <v>5590000</v>
      </c>
      <c r="G230" s="11">
        <v>-64469000</v>
      </c>
      <c r="H230" s="11">
        <v>34932000</v>
      </c>
      <c r="I230" s="11">
        <v>26154000</v>
      </c>
      <c r="J230" s="11">
        <v>86037000</v>
      </c>
      <c r="K230" s="11">
        <v>150726000</v>
      </c>
    </row>
    <row r="231" spans="1:11" x14ac:dyDescent="0.25">
      <c r="A231" s="8" t="s">
        <v>211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</row>
    <row r="232" spans="1:11" x14ac:dyDescent="0.25">
      <c r="A232" s="8" t="s">
        <v>212</v>
      </c>
      <c r="B232" s="11">
        <v>-3021000</v>
      </c>
      <c r="C232" s="11">
        <v>-16476000</v>
      </c>
      <c r="D232" s="11">
        <v>-50331000</v>
      </c>
      <c r="E232" s="11">
        <v>84427000</v>
      </c>
      <c r="F232" s="11">
        <v>6294000</v>
      </c>
      <c r="G232" s="11">
        <v>43553000</v>
      </c>
      <c r="H232" s="11">
        <v>8224000</v>
      </c>
      <c r="I232" s="11">
        <v>11598000</v>
      </c>
      <c r="J232" s="11">
        <v>24289000</v>
      </c>
      <c r="K232" s="11">
        <v>-272799000</v>
      </c>
    </row>
    <row r="233" spans="1:11" x14ac:dyDescent="0.25">
      <c r="A233" s="6" t="s">
        <v>213</v>
      </c>
      <c r="B233" s="9">
        <v>-444165000</v>
      </c>
      <c r="C233" s="9">
        <v>-64117000</v>
      </c>
      <c r="D233" s="9">
        <v>-84613000</v>
      </c>
      <c r="E233" s="9">
        <v>71698000</v>
      </c>
      <c r="F233" s="9">
        <v>-336006000</v>
      </c>
      <c r="G233" s="9">
        <v>-87608000</v>
      </c>
      <c r="H233" s="9">
        <v>-7424999.9999000002</v>
      </c>
      <c r="I233" s="9">
        <v>38545000</v>
      </c>
      <c r="J233" s="9">
        <v>-523948000</v>
      </c>
      <c r="K233" s="9">
        <v>-279046000</v>
      </c>
    </row>
    <row r="234" spans="1:11" x14ac:dyDescent="0.25">
      <c r="A234" s="8" t="s">
        <v>214</v>
      </c>
      <c r="B234" s="11">
        <v>-241588000</v>
      </c>
      <c r="C234" s="11">
        <v>84349000</v>
      </c>
      <c r="D234" s="11">
        <v>27702000</v>
      </c>
      <c r="E234" s="11">
        <v>407470000</v>
      </c>
      <c r="F234" s="11">
        <v>-73411000</v>
      </c>
      <c r="G234" s="11">
        <v>402671000</v>
      </c>
      <c r="H234" s="11">
        <v>-506783000</v>
      </c>
      <c r="I234" s="11">
        <v>59594000</v>
      </c>
      <c r="J234" s="11">
        <v>-347012000</v>
      </c>
      <c r="K234" s="11">
        <v>-65128000</v>
      </c>
    </row>
    <row r="235" spans="1:11" x14ac:dyDescent="0.25">
      <c r="A235" s="8" t="s">
        <v>215</v>
      </c>
      <c r="B235" s="11">
        <v>-59909000</v>
      </c>
      <c r="C235" s="11">
        <v>103935000</v>
      </c>
      <c r="D235" s="11">
        <v>49331000</v>
      </c>
      <c r="E235" s="11">
        <v>62800000</v>
      </c>
      <c r="F235" s="11">
        <v>-108870000</v>
      </c>
      <c r="G235" s="11">
        <v>86562000</v>
      </c>
      <c r="H235" s="11">
        <v>29825000</v>
      </c>
      <c r="I235" s="11">
        <v>-105203000</v>
      </c>
      <c r="J235" s="11">
        <v>-358966000</v>
      </c>
      <c r="K235" s="11">
        <v>-468510000</v>
      </c>
    </row>
    <row r="236" spans="1:11" x14ac:dyDescent="0.25">
      <c r="A236" s="8" t="s">
        <v>216</v>
      </c>
      <c r="B236" s="11">
        <v>-16626000</v>
      </c>
      <c r="C236" s="11">
        <v>-40822000</v>
      </c>
      <c r="D236" s="11">
        <v>-126571000</v>
      </c>
      <c r="E236" s="11">
        <v>33649000</v>
      </c>
      <c r="F236" s="11">
        <v>78722000</v>
      </c>
      <c r="G236" s="11">
        <v>29641000</v>
      </c>
      <c r="H236" s="11">
        <v>-89118000</v>
      </c>
      <c r="I236" s="11">
        <v>-48873000</v>
      </c>
      <c r="J236" s="11">
        <v>-109343000</v>
      </c>
      <c r="K236" s="11">
        <v>-117833000</v>
      </c>
    </row>
    <row r="237" spans="1:11" x14ac:dyDescent="0.25">
      <c r="A237" s="8" t="s">
        <v>217</v>
      </c>
      <c r="B237" s="11">
        <v>44535000</v>
      </c>
      <c r="C237" s="11">
        <v>-116954000</v>
      </c>
      <c r="D237" s="11">
        <v>-81908000</v>
      </c>
      <c r="E237" s="11">
        <v>-120772000</v>
      </c>
      <c r="F237" s="11">
        <v>57739000</v>
      </c>
      <c r="G237" s="11">
        <v>-592405000</v>
      </c>
      <c r="H237" s="11">
        <v>488092000</v>
      </c>
      <c r="I237" s="11">
        <v>245115000</v>
      </c>
      <c r="J237" s="11">
        <v>305334000</v>
      </c>
      <c r="K237" s="11">
        <v>173699000</v>
      </c>
    </row>
    <row r="238" spans="1:11" x14ac:dyDescent="0.25">
      <c r="A238" s="8" t="s">
        <v>218</v>
      </c>
      <c r="B238" s="11">
        <v>-49165000</v>
      </c>
      <c r="C238" s="11">
        <v>-39402000</v>
      </c>
      <c r="D238" s="11">
        <v>-51891000</v>
      </c>
      <c r="E238" s="11">
        <v>-20364000</v>
      </c>
      <c r="F238" s="11">
        <v>-19333000</v>
      </c>
      <c r="G238" s="11">
        <v>-27857000</v>
      </c>
      <c r="H238" s="11">
        <v>-34450000</v>
      </c>
      <c r="I238" s="11">
        <v>-57246000</v>
      </c>
      <c r="J238" s="11">
        <v>-45721000</v>
      </c>
      <c r="K238" s="11">
        <v>-25062000</v>
      </c>
    </row>
    <row r="239" spans="1:11" x14ac:dyDescent="0.25">
      <c r="A239" s="8" t="s">
        <v>219</v>
      </c>
      <c r="B239" s="11">
        <v>-121412000</v>
      </c>
      <c r="C239" s="11">
        <v>-55223000</v>
      </c>
      <c r="D239" s="11">
        <v>98724000</v>
      </c>
      <c r="E239" s="11">
        <v>-291085000</v>
      </c>
      <c r="F239" s="11">
        <v>-270853000</v>
      </c>
      <c r="G239" s="11">
        <v>13780000</v>
      </c>
      <c r="H239" s="11">
        <v>105009000</v>
      </c>
      <c r="I239" s="11">
        <v>-54842000</v>
      </c>
      <c r="J239" s="11">
        <v>31760000</v>
      </c>
      <c r="K239" s="11">
        <v>223788000</v>
      </c>
    </row>
    <row r="240" spans="1:11" x14ac:dyDescent="0.25">
      <c r="A240" s="6" t="s">
        <v>220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</row>
    <row r="241" spans="1:11" x14ac:dyDescent="0.25">
      <c r="A241" s="3" t="s">
        <v>221</v>
      </c>
      <c r="B241" s="7">
        <v>-117041000</v>
      </c>
      <c r="C241" s="7">
        <v>-111482000</v>
      </c>
      <c r="D241" s="7">
        <v>-158383000</v>
      </c>
      <c r="E241" s="7">
        <v>-137562000</v>
      </c>
      <c r="F241" s="7">
        <v>-101373000</v>
      </c>
      <c r="G241" s="7">
        <v>-73299000</v>
      </c>
      <c r="H241" s="7">
        <v>-72614000</v>
      </c>
      <c r="I241" s="7">
        <v>-88508000</v>
      </c>
      <c r="J241" s="7">
        <v>-54561000</v>
      </c>
      <c r="K241" s="7">
        <v>-75406000</v>
      </c>
    </row>
    <row r="242" spans="1:11" x14ac:dyDescent="0.25">
      <c r="A242" s="6" t="s">
        <v>222</v>
      </c>
      <c r="B242" s="9">
        <v>-117041000</v>
      </c>
      <c r="C242" s="9">
        <v>-111482000</v>
      </c>
      <c r="D242" s="9">
        <v>-158383000</v>
      </c>
      <c r="E242" s="9">
        <v>-157655000</v>
      </c>
      <c r="F242" s="9">
        <v>-101373000</v>
      </c>
      <c r="G242" s="9">
        <v>-73299000</v>
      </c>
      <c r="H242" s="9">
        <v>-72614000</v>
      </c>
      <c r="I242" s="9">
        <v>-88508000</v>
      </c>
      <c r="J242" s="9">
        <v>-54561000</v>
      </c>
      <c r="K242" s="9">
        <v>-75406000</v>
      </c>
    </row>
    <row r="243" spans="1:11" x14ac:dyDescent="0.25">
      <c r="A243" s="8" t="s">
        <v>223</v>
      </c>
      <c r="B243" s="11">
        <v>0</v>
      </c>
      <c r="C243" s="11">
        <v>0</v>
      </c>
      <c r="D243" s="11">
        <v>-32049000</v>
      </c>
      <c r="E243" s="11">
        <v>-28885000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</row>
    <row r="244" spans="1:11" x14ac:dyDescent="0.25">
      <c r="A244" s="8" t="s">
        <v>224</v>
      </c>
      <c r="B244" s="11">
        <v>-117041000</v>
      </c>
      <c r="C244" s="11">
        <v>-111482000</v>
      </c>
      <c r="D244" s="11">
        <v>-126334000</v>
      </c>
      <c r="E244" s="11">
        <v>-128770000</v>
      </c>
      <c r="F244" s="11">
        <v>-101373000</v>
      </c>
      <c r="G244" s="11">
        <v>-73299000</v>
      </c>
      <c r="H244" s="11">
        <v>-72614000</v>
      </c>
      <c r="I244" s="11">
        <v>-88508000</v>
      </c>
      <c r="J244" s="11">
        <v>-54561000</v>
      </c>
      <c r="K244" s="11">
        <v>-75406000</v>
      </c>
    </row>
    <row r="245" spans="1:11" x14ac:dyDescent="0.25">
      <c r="A245" s="8" t="s">
        <v>225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</row>
    <row r="246" spans="1:11" x14ac:dyDescent="0.25">
      <c r="A246" s="6" t="s">
        <v>226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</row>
    <row r="247" spans="1:11" x14ac:dyDescent="0.25">
      <c r="A247" s="6" t="s">
        <v>227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</row>
    <row r="248" spans="1:11" x14ac:dyDescent="0.25">
      <c r="A248" s="6" t="s">
        <v>228</v>
      </c>
      <c r="B248" s="9">
        <v>0</v>
      </c>
      <c r="C248" s="9">
        <v>0</v>
      </c>
      <c r="D248" s="9">
        <v>0</v>
      </c>
      <c r="E248" s="9">
        <v>20093000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</row>
    <row r="249" spans="1:11" x14ac:dyDescent="0.25">
      <c r="A249" s="3" t="s">
        <v>229</v>
      </c>
      <c r="B249" s="7">
        <v>187561000</v>
      </c>
      <c r="C249" s="7">
        <v>-125812000</v>
      </c>
      <c r="D249" s="7">
        <v>193144000</v>
      </c>
      <c r="E249" s="7">
        <v>-256483000</v>
      </c>
      <c r="F249" s="7">
        <v>606647000</v>
      </c>
      <c r="G249" s="7">
        <v>531506000</v>
      </c>
      <c r="H249" s="7">
        <v>50513999.998999998</v>
      </c>
      <c r="I249" s="7">
        <v>-219372000</v>
      </c>
      <c r="J249" s="7">
        <v>57388000</v>
      </c>
      <c r="K249" s="7">
        <v>58169000</v>
      </c>
    </row>
    <row r="250" spans="1:11" x14ac:dyDescent="0.25">
      <c r="A250" s="6" t="s">
        <v>230</v>
      </c>
      <c r="B250" s="9">
        <v>337713000</v>
      </c>
      <c r="C250" s="9">
        <v>-125833000</v>
      </c>
      <c r="D250" s="9">
        <v>209839000</v>
      </c>
      <c r="E250" s="9">
        <v>-284086000</v>
      </c>
      <c r="F250" s="9">
        <v>752917000</v>
      </c>
      <c r="G250" s="9">
        <v>526535000</v>
      </c>
      <c r="H250" s="9">
        <v>50513999.998999998</v>
      </c>
      <c r="I250" s="9">
        <v>-219372000</v>
      </c>
      <c r="J250" s="9">
        <v>148631000</v>
      </c>
      <c r="K250" s="9">
        <v>70016000</v>
      </c>
    </row>
    <row r="251" spans="1:11" x14ac:dyDescent="0.25">
      <c r="A251" s="8" t="s">
        <v>231</v>
      </c>
      <c r="B251" s="11">
        <v>1477561000</v>
      </c>
      <c r="C251" s="11">
        <v>245507000</v>
      </c>
      <c r="D251" s="11">
        <v>583795000</v>
      </c>
      <c r="E251" s="11">
        <v>269654000</v>
      </c>
      <c r="F251" s="11">
        <v>990797000</v>
      </c>
      <c r="G251" s="11">
        <v>809153000</v>
      </c>
      <c r="H251" s="11">
        <v>277024000</v>
      </c>
      <c r="I251" s="11">
        <v>385949000</v>
      </c>
      <c r="J251" s="11">
        <v>525104000</v>
      </c>
      <c r="K251" s="11">
        <v>2690586000</v>
      </c>
    </row>
    <row r="252" spans="1:11" x14ac:dyDescent="0.25">
      <c r="A252" s="8" t="s">
        <v>232</v>
      </c>
      <c r="B252" s="11">
        <v>-1139848000</v>
      </c>
      <c r="C252" s="11">
        <v>-371340000</v>
      </c>
      <c r="D252" s="11">
        <v>-373956000</v>
      </c>
      <c r="E252" s="11">
        <v>-553740000</v>
      </c>
      <c r="F252" s="11">
        <v>-237880000</v>
      </c>
      <c r="G252" s="11">
        <v>-282618000</v>
      </c>
      <c r="H252" s="11">
        <v>-226510000</v>
      </c>
      <c r="I252" s="11">
        <v>-605321000</v>
      </c>
      <c r="J252" s="11">
        <v>-376473000</v>
      </c>
      <c r="K252" s="11">
        <v>-2620570000</v>
      </c>
    </row>
    <row r="253" spans="1:11" x14ac:dyDescent="0.25">
      <c r="A253" s="6" t="s">
        <v>233</v>
      </c>
      <c r="B253" s="9">
        <v>-2987000</v>
      </c>
      <c r="C253" s="9">
        <v>21000</v>
      </c>
      <c r="D253" s="9">
        <v>68000.000000999993</v>
      </c>
      <c r="E253" s="9">
        <v>39849000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4" spans="1:11" x14ac:dyDescent="0.25">
      <c r="A254" s="8" t="s">
        <v>234</v>
      </c>
      <c r="B254" s="11">
        <v>0</v>
      </c>
      <c r="C254" s="11">
        <v>0</v>
      </c>
      <c r="D254" s="11">
        <v>0</v>
      </c>
      <c r="E254" s="11">
        <v>39938000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</row>
    <row r="255" spans="1:11" x14ac:dyDescent="0.25">
      <c r="A255" s="8" t="s">
        <v>235</v>
      </c>
      <c r="B255" s="11">
        <v>-2987000</v>
      </c>
      <c r="C255" s="11">
        <v>21000</v>
      </c>
      <c r="D255" s="11">
        <v>68000.000000999993</v>
      </c>
      <c r="E255" s="11">
        <v>-89000.000000999993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</row>
    <row r="256" spans="1:11" x14ac:dyDescent="0.25">
      <c r="A256" s="6" t="s">
        <v>236</v>
      </c>
      <c r="B256" s="9">
        <v>-147206000</v>
      </c>
      <c r="C256" s="9">
        <v>0</v>
      </c>
      <c r="D256" s="9">
        <v>-16763000</v>
      </c>
      <c r="E256" s="9">
        <v>-39920000</v>
      </c>
      <c r="F256" s="9">
        <v>-146196000</v>
      </c>
      <c r="G256" s="9">
        <v>0</v>
      </c>
      <c r="H256" s="9">
        <v>0</v>
      </c>
      <c r="I256" s="9">
        <v>0</v>
      </c>
      <c r="J256" s="9">
        <v>-91243000</v>
      </c>
      <c r="K256" s="9">
        <v>-11847000</v>
      </c>
    </row>
    <row r="257" spans="1:11" x14ac:dyDescent="0.25">
      <c r="A257" s="6" t="s">
        <v>237</v>
      </c>
      <c r="B257" s="9">
        <v>41000</v>
      </c>
      <c r="C257" s="9">
        <v>0</v>
      </c>
      <c r="D257" s="9">
        <v>0</v>
      </c>
      <c r="E257" s="9">
        <v>27674000</v>
      </c>
      <c r="F257" s="9">
        <v>-74000</v>
      </c>
      <c r="G257" s="9">
        <v>4971000</v>
      </c>
      <c r="H257" s="9">
        <v>0</v>
      </c>
      <c r="I257" s="9">
        <v>0</v>
      </c>
      <c r="J257" s="9">
        <v>0</v>
      </c>
      <c r="K257" s="9">
        <v>0</v>
      </c>
    </row>
    <row r="258" spans="1:11" x14ac:dyDescent="0.25">
      <c r="A258" s="3" t="s">
        <v>238</v>
      </c>
      <c r="B258" s="7">
        <v>73729000</v>
      </c>
      <c r="C258" s="7">
        <v>-77482000</v>
      </c>
      <c r="D258" s="7">
        <v>48453000</v>
      </c>
      <c r="E258" s="7">
        <v>-17091000</v>
      </c>
      <c r="F258" s="7">
        <v>106630000</v>
      </c>
      <c r="G258" s="7">
        <v>40759000</v>
      </c>
      <c r="H258" s="7">
        <v>52546000</v>
      </c>
      <c r="I258" s="7">
        <v>12697000</v>
      </c>
      <c r="J258" s="7">
        <v>31639000</v>
      </c>
      <c r="K258" s="7">
        <v>-211975000</v>
      </c>
    </row>
    <row r="259" spans="1:11" x14ac:dyDescent="0.25">
      <c r="A259" s="3" t="s">
        <v>239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</row>
    <row r="260" spans="1:11" x14ac:dyDescent="0.25">
      <c r="A260" s="3" t="s">
        <v>240</v>
      </c>
      <c r="B260" s="7">
        <v>-51829000</v>
      </c>
      <c r="C260" s="7">
        <v>-82035000</v>
      </c>
      <c r="D260" s="7">
        <v>318342000</v>
      </c>
      <c r="E260" s="7">
        <v>-25244000</v>
      </c>
      <c r="F260" s="7">
        <v>487784000</v>
      </c>
      <c r="G260" s="7">
        <v>258653000</v>
      </c>
      <c r="H260" s="7">
        <v>249069000</v>
      </c>
      <c r="I260" s="7">
        <v>-36204000</v>
      </c>
      <c r="J260" s="7">
        <v>-96509000</v>
      </c>
      <c r="K260" s="7">
        <v>-153672000</v>
      </c>
    </row>
    <row r="261" spans="1:11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25">
      <c r="A262" s="3" t="s">
        <v>1</v>
      </c>
      <c r="B262" s="5" t="s">
        <v>2</v>
      </c>
      <c r="C262" s="5" t="s">
        <v>2</v>
      </c>
      <c r="D262" s="5" t="s">
        <v>2</v>
      </c>
      <c r="E262" s="5" t="s">
        <v>2</v>
      </c>
      <c r="F262" s="5" t="s">
        <v>2</v>
      </c>
      <c r="G262" s="5" t="s">
        <v>2</v>
      </c>
      <c r="H262" s="5" t="s">
        <v>2</v>
      </c>
      <c r="I262" s="5" t="s">
        <v>2</v>
      </c>
      <c r="J262" s="5" t="s">
        <v>2</v>
      </c>
      <c r="K262" s="5" t="s">
        <v>2</v>
      </c>
    </row>
    <row r="263" spans="1:11" x14ac:dyDescent="0.25">
      <c r="A263" s="3" t="s">
        <v>3</v>
      </c>
      <c r="B263" s="5" t="s">
        <v>4</v>
      </c>
      <c r="C263" s="5" t="s">
        <v>4</v>
      </c>
      <c r="D263" s="5" t="s">
        <v>4</v>
      </c>
      <c r="E263" s="5" t="s">
        <v>4</v>
      </c>
      <c r="F263" s="5" t="s">
        <v>4</v>
      </c>
      <c r="G263" s="5" t="s">
        <v>4</v>
      </c>
      <c r="H263" s="5" t="s">
        <v>4</v>
      </c>
      <c r="I263" s="5" t="s">
        <v>4</v>
      </c>
      <c r="J263" s="5" t="s">
        <v>4</v>
      </c>
      <c r="K263" s="5" t="s">
        <v>4</v>
      </c>
    </row>
    <row r="264" spans="1:11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25">
      <c r="A265" s="3" t="s">
        <v>7</v>
      </c>
      <c r="B265" s="5" t="s">
        <v>2</v>
      </c>
      <c r="C265" s="5" t="s">
        <v>2</v>
      </c>
      <c r="D265" s="5" t="s">
        <v>2</v>
      </c>
      <c r="E265" s="5" t="s">
        <v>2</v>
      </c>
      <c r="F265" s="5" t="s">
        <v>2</v>
      </c>
      <c r="G265" s="5" t="s">
        <v>2</v>
      </c>
      <c r="H265" s="5" t="s">
        <v>2</v>
      </c>
      <c r="I265" s="5" t="s">
        <v>2</v>
      </c>
      <c r="J265" s="5" t="s">
        <v>2</v>
      </c>
      <c r="K265" s="5" t="s">
        <v>2</v>
      </c>
    </row>
    <row r="266" spans="1:11" x14ac:dyDescent="0.25">
      <c r="A266" s="3" t="s">
        <v>8</v>
      </c>
      <c r="B266" s="7">
        <v>9440143000</v>
      </c>
      <c r="C266" s="7">
        <v>9236750000</v>
      </c>
      <c r="D266" s="7">
        <v>10022525000</v>
      </c>
      <c r="E266" s="7">
        <v>9375411000</v>
      </c>
      <c r="F266" s="7">
        <v>11717177000</v>
      </c>
      <c r="G266" s="7">
        <v>11892587000</v>
      </c>
      <c r="H266" s="7">
        <v>13010400000</v>
      </c>
      <c r="I266" s="7">
        <v>12411803000</v>
      </c>
      <c r="J266" s="7">
        <v>13652232000</v>
      </c>
      <c r="K266" s="7">
        <v>13203278000</v>
      </c>
    </row>
    <row r="267" spans="1:11" x14ac:dyDescent="0.25">
      <c r="A267" s="6" t="s">
        <v>9</v>
      </c>
      <c r="B267" s="9">
        <v>3799311000</v>
      </c>
      <c r="C267" s="9">
        <v>3616236000</v>
      </c>
      <c r="D267" s="9">
        <v>3976211000</v>
      </c>
      <c r="E267" s="9">
        <v>3357621000</v>
      </c>
      <c r="F267" s="9">
        <v>4526247000</v>
      </c>
      <c r="G267" s="9">
        <v>4372292000</v>
      </c>
      <c r="H267" s="9">
        <v>5278408000</v>
      </c>
      <c r="I267" s="9">
        <v>5161926000</v>
      </c>
      <c r="J267" s="9">
        <v>6054354000</v>
      </c>
      <c r="K267" s="9">
        <v>6208374000</v>
      </c>
    </row>
    <row r="268" spans="1:11" x14ac:dyDescent="0.25">
      <c r="A268" s="8" t="s">
        <v>241</v>
      </c>
      <c r="B268" s="15" t="s">
        <v>14</v>
      </c>
      <c r="C268" s="15" t="s">
        <v>14</v>
      </c>
      <c r="D268" s="15" t="s">
        <v>14</v>
      </c>
      <c r="E268" s="15" t="s">
        <v>14</v>
      </c>
      <c r="F268" s="15" t="s">
        <v>14</v>
      </c>
      <c r="G268" s="15" t="s">
        <v>14</v>
      </c>
      <c r="H268" s="15" t="s">
        <v>14</v>
      </c>
      <c r="I268" s="15" t="s">
        <v>14</v>
      </c>
      <c r="J268" s="15" t="s">
        <v>14</v>
      </c>
      <c r="K268" s="15" t="s">
        <v>14</v>
      </c>
    </row>
    <row r="269" spans="1:11" x14ac:dyDescent="0.25">
      <c r="A269" s="8" t="s">
        <v>242</v>
      </c>
      <c r="B269" s="15" t="s">
        <v>14</v>
      </c>
      <c r="C269" s="15" t="s">
        <v>14</v>
      </c>
      <c r="D269" s="15" t="s">
        <v>14</v>
      </c>
      <c r="E269" s="15" t="s">
        <v>14</v>
      </c>
      <c r="F269" s="15" t="s">
        <v>14</v>
      </c>
      <c r="G269" s="15" t="s">
        <v>14</v>
      </c>
      <c r="H269" s="15" t="s">
        <v>14</v>
      </c>
      <c r="I269" s="15" t="s">
        <v>14</v>
      </c>
      <c r="J269" s="15" t="s">
        <v>14</v>
      </c>
      <c r="K269" s="15" t="s">
        <v>14</v>
      </c>
    </row>
    <row r="270" spans="1:11" x14ac:dyDescent="0.25">
      <c r="A270" s="10" t="s">
        <v>21</v>
      </c>
      <c r="B270" s="9">
        <v>1502342000</v>
      </c>
      <c r="C270" s="9">
        <v>1479216000</v>
      </c>
      <c r="D270" s="9">
        <v>1440886000</v>
      </c>
      <c r="E270" s="9">
        <v>1029650000</v>
      </c>
      <c r="F270" s="9">
        <v>1323161000</v>
      </c>
      <c r="G270" s="9">
        <v>966336000</v>
      </c>
      <c r="H270" s="9">
        <v>1528126000</v>
      </c>
      <c r="I270" s="9">
        <v>1405954000</v>
      </c>
      <c r="J270" s="9">
        <v>1824896000</v>
      </c>
      <c r="K270" s="9">
        <v>1749006000</v>
      </c>
    </row>
    <row r="271" spans="1:11" x14ac:dyDescent="0.25">
      <c r="A271" s="10" t="s">
        <v>243</v>
      </c>
      <c r="B271" s="41" t="s">
        <v>14</v>
      </c>
      <c r="C271" s="41" t="s">
        <v>14</v>
      </c>
      <c r="D271" s="41" t="s">
        <v>14</v>
      </c>
      <c r="E271" s="41" t="s">
        <v>14</v>
      </c>
      <c r="F271" s="41" t="s">
        <v>14</v>
      </c>
      <c r="G271" s="41" t="s">
        <v>14</v>
      </c>
      <c r="H271" s="41" t="s">
        <v>14</v>
      </c>
      <c r="I271" s="41" t="s">
        <v>14</v>
      </c>
      <c r="J271" s="41" t="s">
        <v>14</v>
      </c>
      <c r="K271" s="41" t="s">
        <v>14</v>
      </c>
    </row>
    <row r="272" spans="1:11" x14ac:dyDescent="0.25">
      <c r="A272" s="12" t="s">
        <v>244</v>
      </c>
      <c r="B272" s="5" t="s">
        <v>14</v>
      </c>
      <c r="C272" s="5" t="s">
        <v>14</v>
      </c>
      <c r="D272" s="5" t="s">
        <v>14</v>
      </c>
      <c r="E272" s="5" t="s">
        <v>14</v>
      </c>
      <c r="F272" s="5" t="s">
        <v>14</v>
      </c>
      <c r="G272" s="5" t="s">
        <v>14</v>
      </c>
      <c r="H272" s="5" t="s">
        <v>14</v>
      </c>
      <c r="I272" s="5" t="s">
        <v>14</v>
      </c>
      <c r="J272" s="5" t="s">
        <v>14</v>
      </c>
      <c r="K272" s="5" t="s">
        <v>14</v>
      </c>
    </row>
    <row r="273" spans="1:11" x14ac:dyDescent="0.25">
      <c r="A273" s="12" t="s">
        <v>245</v>
      </c>
      <c r="B273" s="5" t="s">
        <v>14</v>
      </c>
      <c r="C273" s="5" t="s">
        <v>14</v>
      </c>
      <c r="D273" s="5" t="s">
        <v>14</v>
      </c>
      <c r="E273" s="5" t="s">
        <v>14</v>
      </c>
      <c r="F273" s="5" t="s">
        <v>14</v>
      </c>
      <c r="G273" s="5" t="s">
        <v>14</v>
      </c>
      <c r="H273" s="5" t="s">
        <v>14</v>
      </c>
      <c r="I273" s="5" t="s">
        <v>14</v>
      </c>
      <c r="J273" s="5" t="s">
        <v>14</v>
      </c>
      <c r="K273" s="5" t="s">
        <v>14</v>
      </c>
    </row>
    <row r="274" spans="1:11" x14ac:dyDescent="0.25">
      <c r="A274" s="8" t="s">
        <v>23</v>
      </c>
      <c r="B274" s="11">
        <v>1517728000</v>
      </c>
      <c r="C274" s="11">
        <v>1399921000</v>
      </c>
      <c r="D274" s="11">
        <v>1417784000</v>
      </c>
      <c r="E274" s="11">
        <v>1328470000</v>
      </c>
      <c r="F274" s="11">
        <v>1698388000</v>
      </c>
      <c r="G274" s="11">
        <v>1659113000</v>
      </c>
      <c r="H274" s="11">
        <v>1717282000</v>
      </c>
      <c r="I274" s="11">
        <v>1748497000</v>
      </c>
      <c r="J274" s="11">
        <v>2200098000</v>
      </c>
      <c r="K274" s="11">
        <v>2474865000</v>
      </c>
    </row>
    <row r="275" spans="1:11" x14ac:dyDescent="0.25">
      <c r="A275" s="8" t="s">
        <v>246</v>
      </c>
      <c r="B275" s="15" t="s">
        <v>14</v>
      </c>
      <c r="C275" s="15" t="s">
        <v>14</v>
      </c>
      <c r="D275" s="15" t="s">
        <v>14</v>
      </c>
      <c r="E275" s="15" t="s">
        <v>14</v>
      </c>
      <c r="F275" s="15" t="s">
        <v>14</v>
      </c>
      <c r="G275" s="15" t="s">
        <v>14</v>
      </c>
      <c r="H275" s="15" t="s">
        <v>14</v>
      </c>
      <c r="I275" s="15" t="s">
        <v>14</v>
      </c>
      <c r="J275" s="15" t="s">
        <v>14</v>
      </c>
      <c r="K275" s="15" t="s">
        <v>14</v>
      </c>
    </row>
    <row r="276" spans="1:11" x14ac:dyDescent="0.25">
      <c r="A276" s="6" t="s">
        <v>32</v>
      </c>
      <c r="B276" s="9">
        <v>5640832000</v>
      </c>
      <c r="C276" s="9">
        <v>5620514000</v>
      </c>
      <c r="D276" s="9">
        <v>6046314000</v>
      </c>
      <c r="E276" s="9">
        <v>6017790000</v>
      </c>
      <c r="F276" s="9">
        <v>7190930000</v>
      </c>
      <c r="G276" s="9">
        <v>7520295000</v>
      </c>
      <c r="H276" s="9">
        <v>7731992000</v>
      </c>
      <c r="I276" s="9">
        <v>7249877000</v>
      </c>
      <c r="J276" s="9">
        <v>7597878000</v>
      </c>
      <c r="K276" s="9">
        <v>6994904000</v>
      </c>
    </row>
    <row r="277" spans="1:11" x14ac:dyDescent="0.25">
      <c r="A277" s="8" t="s">
        <v>33</v>
      </c>
      <c r="B277" s="11">
        <v>440158000</v>
      </c>
      <c r="C277" s="11">
        <v>454774000</v>
      </c>
      <c r="D277" s="11">
        <v>541286000</v>
      </c>
      <c r="E277" s="11">
        <v>538299000</v>
      </c>
      <c r="F277" s="11">
        <v>575854000</v>
      </c>
      <c r="G277" s="11">
        <v>656068000</v>
      </c>
      <c r="H277" s="11">
        <v>676259000</v>
      </c>
      <c r="I277" s="11">
        <v>629630000</v>
      </c>
      <c r="J277" s="11">
        <v>621429000</v>
      </c>
      <c r="K277" s="11">
        <v>765840000</v>
      </c>
    </row>
    <row r="278" spans="1:11" x14ac:dyDescent="0.25">
      <c r="A278" s="10" t="s">
        <v>247</v>
      </c>
      <c r="B278" s="41" t="s">
        <v>14</v>
      </c>
      <c r="C278" s="41" t="s">
        <v>14</v>
      </c>
      <c r="D278" s="41" t="s">
        <v>14</v>
      </c>
      <c r="E278" s="41" t="s">
        <v>14</v>
      </c>
      <c r="F278" s="41" t="s">
        <v>14</v>
      </c>
      <c r="G278" s="41" t="s">
        <v>14</v>
      </c>
      <c r="H278" s="41" t="s">
        <v>14</v>
      </c>
      <c r="I278" s="41" t="s">
        <v>14</v>
      </c>
      <c r="J278" s="41" t="s">
        <v>14</v>
      </c>
      <c r="K278" s="41" t="s">
        <v>14</v>
      </c>
    </row>
    <row r="279" spans="1:11" x14ac:dyDescent="0.25">
      <c r="A279" s="10" t="s">
        <v>248</v>
      </c>
      <c r="B279" s="41" t="s">
        <v>14</v>
      </c>
      <c r="C279" s="41" t="s">
        <v>14</v>
      </c>
      <c r="D279" s="41" t="s">
        <v>14</v>
      </c>
      <c r="E279" s="41" t="s">
        <v>14</v>
      </c>
      <c r="F279" s="41" t="s">
        <v>14</v>
      </c>
      <c r="G279" s="41" t="s">
        <v>14</v>
      </c>
      <c r="H279" s="41" t="s">
        <v>14</v>
      </c>
      <c r="I279" s="41" t="s">
        <v>14</v>
      </c>
      <c r="J279" s="41" t="s">
        <v>14</v>
      </c>
      <c r="K279" s="41" t="s">
        <v>14</v>
      </c>
    </row>
    <row r="280" spans="1:11" x14ac:dyDescent="0.25">
      <c r="A280" s="12" t="s">
        <v>48</v>
      </c>
      <c r="B280" s="7">
        <v>32571000</v>
      </c>
      <c r="C280" s="7">
        <v>32571000</v>
      </c>
      <c r="D280" s="7">
        <v>32571000</v>
      </c>
      <c r="E280" s="7">
        <v>4897000</v>
      </c>
      <c r="F280" s="7">
        <v>5288000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</row>
    <row r="281" spans="1:11" x14ac:dyDescent="0.25">
      <c r="A281" s="12" t="s">
        <v>49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</row>
    <row r="282" spans="1:11" x14ac:dyDescent="0.25">
      <c r="A282" s="12" t="s">
        <v>249</v>
      </c>
      <c r="B282" s="5" t="s">
        <v>14</v>
      </c>
      <c r="C282" s="5" t="s">
        <v>14</v>
      </c>
      <c r="D282" s="5" t="s">
        <v>14</v>
      </c>
      <c r="E282" s="5" t="s">
        <v>14</v>
      </c>
      <c r="F282" s="5" t="s">
        <v>14</v>
      </c>
      <c r="G282" s="5" t="s">
        <v>14</v>
      </c>
      <c r="H282" s="5" t="s">
        <v>14</v>
      </c>
      <c r="I282" s="5" t="s">
        <v>14</v>
      </c>
      <c r="J282" s="5" t="s">
        <v>14</v>
      </c>
      <c r="K282" s="5" t="s">
        <v>14</v>
      </c>
    </row>
    <row r="283" spans="1:11" x14ac:dyDescent="0.25">
      <c r="A283" s="10" t="s">
        <v>250</v>
      </c>
      <c r="B283" s="41" t="s">
        <v>14</v>
      </c>
      <c r="C283" s="41" t="s">
        <v>14</v>
      </c>
      <c r="D283" s="41" t="s">
        <v>14</v>
      </c>
      <c r="E283" s="41" t="s">
        <v>14</v>
      </c>
      <c r="F283" s="41" t="s">
        <v>14</v>
      </c>
      <c r="G283" s="41" t="s">
        <v>14</v>
      </c>
      <c r="H283" s="41" t="s">
        <v>14</v>
      </c>
      <c r="I283" s="41" t="s">
        <v>14</v>
      </c>
      <c r="J283" s="41" t="s">
        <v>14</v>
      </c>
      <c r="K283" s="41" t="s">
        <v>14</v>
      </c>
    </row>
    <row r="284" spans="1:11" x14ac:dyDescent="0.25">
      <c r="A284" s="8" t="s">
        <v>251</v>
      </c>
      <c r="B284" s="15" t="s">
        <v>14</v>
      </c>
      <c r="C284" s="15" t="s">
        <v>14</v>
      </c>
      <c r="D284" s="15" t="s">
        <v>14</v>
      </c>
      <c r="E284" s="15" t="s">
        <v>14</v>
      </c>
      <c r="F284" s="15" t="s">
        <v>14</v>
      </c>
      <c r="G284" s="15" t="s">
        <v>14</v>
      </c>
      <c r="H284" s="15" t="s">
        <v>14</v>
      </c>
      <c r="I284" s="15" t="s">
        <v>14</v>
      </c>
      <c r="J284" s="15" t="s">
        <v>14</v>
      </c>
      <c r="K284" s="15" t="s">
        <v>14</v>
      </c>
    </row>
    <row r="285" spans="1:11" x14ac:dyDescent="0.25">
      <c r="A285" s="10" t="s">
        <v>56</v>
      </c>
      <c r="B285" s="9">
        <v>39655000</v>
      </c>
      <c r="C285" s="9">
        <v>37768000</v>
      </c>
      <c r="D285" s="9">
        <v>67979000</v>
      </c>
      <c r="E285" s="9">
        <v>74612000</v>
      </c>
      <c r="F285" s="9">
        <v>91571000</v>
      </c>
      <c r="G285" s="9">
        <v>93706000</v>
      </c>
      <c r="H285" s="9">
        <v>97383000</v>
      </c>
      <c r="I285" s="9">
        <v>95283000</v>
      </c>
      <c r="J285" s="9">
        <v>102535000</v>
      </c>
      <c r="K285" s="9">
        <v>101125000</v>
      </c>
    </row>
    <row r="286" spans="1:11" x14ac:dyDescent="0.25">
      <c r="A286" s="12" t="s">
        <v>252</v>
      </c>
      <c r="B286" s="5" t="s">
        <v>14</v>
      </c>
      <c r="C286" s="5" t="s">
        <v>14</v>
      </c>
      <c r="D286" s="5" t="s">
        <v>14</v>
      </c>
      <c r="E286" s="5" t="s">
        <v>14</v>
      </c>
      <c r="F286" s="5" t="s">
        <v>14</v>
      </c>
      <c r="G286" s="5" t="s">
        <v>14</v>
      </c>
      <c r="H286" s="5" t="s">
        <v>14</v>
      </c>
      <c r="I286" s="5" t="s">
        <v>14</v>
      </c>
      <c r="J286" s="5" t="s">
        <v>14</v>
      </c>
      <c r="K286" s="5" t="s">
        <v>14</v>
      </c>
    </row>
    <row r="287" spans="1:11" x14ac:dyDescent="0.25">
      <c r="A287" s="12" t="s">
        <v>253</v>
      </c>
      <c r="B287" s="5" t="s">
        <v>14</v>
      </c>
      <c r="C287" s="5" t="s">
        <v>14</v>
      </c>
      <c r="D287" s="5" t="s">
        <v>14</v>
      </c>
      <c r="E287" s="5" t="s">
        <v>14</v>
      </c>
      <c r="F287" s="5" t="s">
        <v>14</v>
      </c>
      <c r="G287" s="5" t="s">
        <v>14</v>
      </c>
      <c r="H287" s="5" t="s">
        <v>14</v>
      </c>
      <c r="I287" s="5" t="s">
        <v>14</v>
      </c>
      <c r="J287" s="5" t="s">
        <v>14</v>
      </c>
      <c r="K287" s="5" t="s">
        <v>14</v>
      </c>
    </row>
    <row r="288" spans="1:11" x14ac:dyDescent="0.25">
      <c r="A288" s="12" t="s">
        <v>254</v>
      </c>
      <c r="B288" s="5" t="s">
        <v>14</v>
      </c>
      <c r="C288" s="5" t="s">
        <v>14</v>
      </c>
      <c r="D288" s="5" t="s">
        <v>14</v>
      </c>
      <c r="E288" s="5" t="s">
        <v>14</v>
      </c>
      <c r="F288" s="5" t="s">
        <v>14</v>
      </c>
      <c r="G288" s="5" t="s">
        <v>14</v>
      </c>
      <c r="H288" s="5" t="s">
        <v>14</v>
      </c>
      <c r="I288" s="5" t="s">
        <v>14</v>
      </c>
      <c r="J288" s="5" t="s">
        <v>14</v>
      </c>
      <c r="K288" s="5" t="s">
        <v>14</v>
      </c>
    </row>
    <row r="289" spans="1:11" x14ac:dyDescent="0.25">
      <c r="A289" s="12" t="s">
        <v>255</v>
      </c>
      <c r="B289" s="5" t="s">
        <v>14</v>
      </c>
      <c r="C289" s="5" t="s">
        <v>14</v>
      </c>
      <c r="D289" s="5" t="s">
        <v>14</v>
      </c>
      <c r="E289" s="5" t="s">
        <v>14</v>
      </c>
      <c r="F289" s="5" t="s">
        <v>14</v>
      </c>
      <c r="G289" s="5" t="s">
        <v>14</v>
      </c>
      <c r="H289" s="5" t="s">
        <v>14</v>
      </c>
      <c r="I289" s="5" t="s">
        <v>14</v>
      </c>
      <c r="J289" s="5" t="s">
        <v>14</v>
      </c>
      <c r="K289" s="5" t="s">
        <v>14</v>
      </c>
    </row>
    <row r="290" spans="1:11" x14ac:dyDescent="0.25">
      <c r="A290" s="12" t="s">
        <v>256</v>
      </c>
      <c r="B290" s="5" t="s">
        <v>14</v>
      </c>
      <c r="C290" s="5" t="s">
        <v>14</v>
      </c>
      <c r="D290" s="5" t="s">
        <v>14</v>
      </c>
      <c r="E290" s="5" t="s">
        <v>14</v>
      </c>
      <c r="F290" s="5" t="s">
        <v>14</v>
      </c>
      <c r="G290" s="5" t="s">
        <v>14</v>
      </c>
      <c r="H290" s="5" t="s">
        <v>14</v>
      </c>
      <c r="I290" s="5" t="s">
        <v>14</v>
      </c>
      <c r="J290" s="5" t="s">
        <v>14</v>
      </c>
      <c r="K290" s="5" t="s">
        <v>14</v>
      </c>
    </row>
    <row r="291" spans="1:11" x14ac:dyDescent="0.25">
      <c r="A291" s="12" t="s">
        <v>17</v>
      </c>
      <c r="B291" s="5" t="s">
        <v>14</v>
      </c>
      <c r="C291" s="5" t="s">
        <v>14</v>
      </c>
      <c r="D291" s="5" t="s">
        <v>14</v>
      </c>
      <c r="E291" s="5" t="s">
        <v>14</v>
      </c>
      <c r="F291" s="5" t="s">
        <v>14</v>
      </c>
      <c r="G291" s="5" t="s">
        <v>14</v>
      </c>
      <c r="H291" s="5" t="s">
        <v>14</v>
      </c>
      <c r="I291" s="5" t="s">
        <v>14</v>
      </c>
      <c r="J291" s="5" t="s">
        <v>14</v>
      </c>
      <c r="K291" s="5" t="s">
        <v>14</v>
      </c>
    </row>
    <row r="292" spans="1:11" x14ac:dyDescent="0.25">
      <c r="A292" s="10" t="s">
        <v>62</v>
      </c>
      <c r="B292" s="9">
        <v>3482756000</v>
      </c>
      <c r="C292" s="9">
        <v>3476151000</v>
      </c>
      <c r="D292" s="9">
        <v>3648149000</v>
      </c>
      <c r="E292" s="9">
        <v>3664744000</v>
      </c>
      <c r="F292" s="9">
        <v>4300052000</v>
      </c>
      <c r="G292" s="9">
        <v>4436400000</v>
      </c>
      <c r="H292" s="9">
        <v>4560664000</v>
      </c>
      <c r="I292" s="9">
        <v>4305084000</v>
      </c>
      <c r="J292" s="9">
        <v>4452954000</v>
      </c>
      <c r="K292" s="9">
        <v>3990803000</v>
      </c>
    </row>
    <row r="293" spans="1:11" x14ac:dyDescent="0.25">
      <c r="A293" s="10" t="s">
        <v>257</v>
      </c>
      <c r="B293" s="41" t="s">
        <v>14</v>
      </c>
      <c r="C293" s="41" t="s">
        <v>14</v>
      </c>
      <c r="D293" s="41" t="s">
        <v>14</v>
      </c>
      <c r="E293" s="41" t="s">
        <v>14</v>
      </c>
      <c r="F293" s="41" t="s">
        <v>14</v>
      </c>
      <c r="G293" s="41" t="s">
        <v>14</v>
      </c>
      <c r="H293" s="41" t="s">
        <v>14</v>
      </c>
      <c r="I293" s="41" t="s">
        <v>14</v>
      </c>
      <c r="J293" s="41" t="s">
        <v>14</v>
      </c>
      <c r="K293" s="41" t="s">
        <v>14</v>
      </c>
    </row>
    <row r="294" spans="1:11" x14ac:dyDescent="0.25">
      <c r="A294" s="10" t="s">
        <v>258</v>
      </c>
      <c r="B294" s="41" t="s">
        <v>14</v>
      </c>
      <c r="C294" s="41" t="s">
        <v>14</v>
      </c>
      <c r="D294" s="41" t="s">
        <v>14</v>
      </c>
      <c r="E294" s="41" t="s">
        <v>14</v>
      </c>
      <c r="F294" s="41" t="s">
        <v>14</v>
      </c>
      <c r="G294" s="41" t="s">
        <v>14</v>
      </c>
      <c r="H294" s="41" t="s">
        <v>14</v>
      </c>
      <c r="I294" s="41" t="s">
        <v>14</v>
      </c>
      <c r="J294" s="41" t="s">
        <v>14</v>
      </c>
      <c r="K294" s="41" t="s">
        <v>14</v>
      </c>
    </row>
    <row r="295" spans="1:11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x14ac:dyDescent="0.25">
      <c r="A296" s="3" t="s">
        <v>70</v>
      </c>
      <c r="B296" s="5" t="s">
        <v>2</v>
      </c>
      <c r="C296" s="5" t="s">
        <v>2</v>
      </c>
      <c r="D296" s="5" t="s">
        <v>2</v>
      </c>
      <c r="E296" s="5" t="s">
        <v>2</v>
      </c>
      <c r="F296" s="5" t="s">
        <v>2</v>
      </c>
      <c r="G296" s="5" t="s">
        <v>2</v>
      </c>
      <c r="H296" s="5" t="s">
        <v>2</v>
      </c>
      <c r="I296" s="5" t="s">
        <v>2</v>
      </c>
      <c r="J296" s="5" t="s">
        <v>2</v>
      </c>
      <c r="K296" s="5" t="s">
        <v>2</v>
      </c>
    </row>
    <row r="297" spans="1:11" x14ac:dyDescent="0.25">
      <c r="A297" s="3" t="s">
        <v>71</v>
      </c>
      <c r="B297" s="7">
        <v>9440143000</v>
      </c>
      <c r="C297" s="7">
        <v>9236750000</v>
      </c>
      <c r="D297" s="7">
        <v>10022525000</v>
      </c>
      <c r="E297" s="7">
        <v>9375411000</v>
      </c>
      <c r="F297" s="7">
        <v>11717177000</v>
      </c>
      <c r="G297" s="7">
        <v>11892587000</v>
      </c>
      <c r="H297" s="7">
        <v>13010400000</v>
      </c>
      <c r="I297" s="7">
        <v>12411803000</v>
      </c>
      <c r="J297" s="7">
        <v>13652232000</v>
      </c>
      <c r="K297" s="7">
        <v>13203278000</v>
      </c>
    </row>
    <row r="298" spans="1:11" x14ac:dyDescent="0.25">
      <c r="A298" s="6" t="s">
        <v>72</v>
      </c>
      <c r="B298" s="9">
        <v>3099445000</v>
      </c>
      <c r="C298" s="9">
        <v>2853138000</v>
      </c>
      <c r="D298" s="9">
        <v>2915325000</v>
      </c>
      <c r="E298" s="9">
        <v>2583618000</v>
      </c>
      <c r="F298" s="9">
        <v>3694293000</v>
      </c>
      <c r="G298" s="9">
        <v>3602714000</v>
      </c>
      <c r="H298" s="9">
        <v>4693039000</v>
      </c>
      <c r="I298" s="9">
        <v>4352451000</v>
      </c>
      <c r="J298" s="9">
        <v>6139477000</v>
      </c>
      <c r="K298" s="9">
        <v>4781777000</v>
      </c>
    </row>
    <row r="299" spans="1:11" x14ac:dyDescent="0.25">
      <c r="A299" s="8" t="s">
        <v>85</v>
      </c>
      <c r="B299" s="11">
        <v>707690000</v>
      </c>
      <c r="C299" s="11">
        <v>726463000</v>
      </c>
      <c r="D299" s="11">
        <v>724591000</v>
      </c>
      <c r="E299" s="11">
        <v>629300000</v>
      </c>
      <c r="F299" s="11">
        <v>1462768000</v>
      </c>
      <c r="G299" s="11">
        <v>1827512000</v>
      </c>
      <c r="H299" s="11">
        <v>2341755000</v>
      </c>
      <c r="I299" s="11">
        <v>1907613000</v>
      </c>
      <c r="J299" s="11">
        <v>3086850000</v>
      </c>
      <c r="K299" s="11">
        <v>1575395000</v>
      </c>
    </row>
    <row r="300" spans="1:11" x14ac:dyDescent="0.25">
      <c r="A300" s="8" t="s">
        <v>88</v>
      </c>
      <c r="B300" s="11">
        <v>160258000</v>
      </c>
      <c r="C300" s="11">
        <v>17474000</v>
      </c>
      <c r="D300" s="11">
        <v>864000</v>
      </c>
      <c r="E300" s="11">
        <v>19397000</v>
      </c>
      <c r="F300" s="11">
        <v>-195000</v>
      </c>
      <c r="G300" s="11">
        <v>765000</v>
      </c>
      <c r="H300" s="11">
        <v>-5336000</v>
      </c>
      <c r="I300" s="11">
        <v>-49000</v>
      </c>
      <c r="J300" s="11">
        <v>216306000</v>
      </c>
      <c r="K300" s="11">
        <v>223385000</v>
      </c>
    </row>
    <row r="301" spans="1:11" x14ac:dyDescent="0.25">
      <c r="A301" s="8" t="s">
        <v>76</v>
      </c>
      <c r="B301" s="11">
        <v>1367348000</v>
      </c>
      <c r="C301" s="11">
        <v>1246438000</v>
      </c>
      <c r="D301" s="11">
        <v>1228512000</v>
      </c>
      <c r="E301" s="11">
        <v>1126821000</v>
      </c>
      <c r="F301" s="11">
        <v>1436452000</v>
      </c>
      <c r="G301" s="11">
        <v>919013000</v>
      </c>
      <c r="H301" s="11">
        <v>1349412000</v>
      </c>
      <c r="I301" s="11">
        <v>1463594000</v>
      </c>
      <c r="J301" s="11">
        <v>1729247000</v>
      </c>
      <c r="K301" s="11">
        <v>1700511000</v>
      </c>
    </row>
    <row r="302" spans="1:11" x14ac:dyDescent="0.25">
      <c r="A302" s="8" t="s">
        <v>259</v>
      </c>
      <c r="B302" s="15" t="s">
        <v>14</v>
      </c>
      <c r="C302" s="15" t="s">
        <v>14</v>
      </c>
      <c r="D302" s="15" t="s">
        <v>14</v>
      </c>
      <c r="E302" s="15" t="s">
        <v>14</v>
      </c>
      <c r="F302" s="15" t="s">
        <v>14</v>
      </c>
      <c r="G302" s="15" t="s">
        <v>14</v>
      </c>
      <c r="H302" s="15" t="s">
        <v>14</v>
      </c>
      <c r="I302" s="15" t="s">
        <v>14</v>
      </c>
      <c r="J302" s="15" t="s">
        <v>14</v>
      </c>
      <c r="K302" s="15" t="s">
        <v>14</v>
      </c>
    </row>
    <row r="303" spans="1:11" x14ac:dyDescent="0.25">
      <c r="A303" s="8" t="s">
        <v>97</v>
      </c>
      <c r="B303" s="11">
        <v>56352000</v>
      </c>
      <c r="C303" s="11">
        <v>56117000</v>
      </c>
      <c r="D303" s="11">
        <v>65930000</v>
      </c>
      <c r="E303" s="11">
        <v>127147000</v>
      </c>
      <c r="F303" s="11">
        <v>81676000</v>
      </c>
      <c r="G303" s="11">
        <v>86596000</v>
      </c>
      <c r="H303" s="11">
        <v>93026000</v>
      </c>
      <c r="I303" s="11">
        <v>89731000</v>
      </c>
      <c r="J303" s="11">
        <v>74790000</v>
      </c>
      <c r="K303" s="11">
        <v>55756000</v>
      </c>
    </row>
    <row r="304" spans="1:11" x14ac:dyDescent="0.25">
      <c r="A304" s="8" t="s">
        <v>100</v>
      </c>
      <c r="B304" s="11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</row>
    <row r="305" spans="1:11" x14ac:dyDescent="0.25">
      <c r="A305" s="8" t="s">
        <v>260</v>
      </c>
      <c r="B305" s="15" t="s">
        <v>14</v>
      </c>
      <c r="C305" s="15" t="s">
        <v>14</v>
      </c>
      <c r="D305" s="15" t="s">
        <v>14</v>
      </c>
      <c r="E305" s="15" t="s">
        <v>14</v>
      </c>
      <c r="F305" s="15" t="s">
        <v>14</v>
      </c>
      <c r="G305" s="15" t="s">
        <v>14</v>
      </c>
      <c r="H305" s="15" t="s">
        <v>14</v>
      </c>
      <c r="I305" s="15" t="s">
        <v>14</v>
      </c>
      <c r="J305" s="15" t="s">
        <v>14</v>
      </c>
      <c r="K305" s="15" t="s">
        <v>14</v>
      </c>
    </row>
    <row r="306" spans="1:11" x14ac:dyDescent="0.25">
      <c r="A306" s="8" t="s">
        <v>261</v>
      </c>
      <c r="B306" s="15" t="s">
        <v>14</v>
      </c>
      <c r="C306" s="15" t="s">
        <v>14</v>
      </c>
      <c r="D306" s="15" t="s">
        <v>14</v>
      </c>
      <c r="E306" s="15" t="s">
        <v>14</v>
      </c>
      <c r="F306" s="15" t="s">
        <v>14</v>
      </c>
      <c r="G306" s="15" t="s">
        <v>14</v>
      </c>
      <c r="H306" s="15" t="s">
        <v>14</v>
      </c>
      <c r="I306" s="15" t="s">
        <v>14</v>
      </c>
      <c r="J306" s="15" t="s">
        <v>14</v>
      </c>
      <c r="K306" s="15" t="s">
        <v>14</v>
      </c>
    </row>
    <row r="307" spans="1:11" x14ac:dyDescent="0.25">
      <c r="A307" s="6" t="s">
        <v>113</v>
      </c>
      <c r="B307" s="9">
        <v>3126464000</v>
      </c>
      <c r="C307" s="9">
        <v>3053548000</v>
      </c>
      <c r="D307" s="9">
        <v>3480830000</v>
      </c>
      <c r="E307" s="9">
        <v>3294817000</v>
      </c>
      <c r="F307" s="9">
        <v>3838516000</v>
      </c>
      <c r="G307" s="9">
        <v>4245199000</v>
      </c>
      <c r="H307" s="9">
        <v>4161611000</v>
      </c>
      <c r="I307" s="9">
        <v>4256591000</v>
      </c>
      <c r="J307" s="9">
        <v>3363226000</v>
      </c>
      <c r="K307" s="9">
        <v>4528308000</v>
      </c>
    </row>
    <row r="308" spans="1:11" x14ac:dyDescent="0.25">
      <c r="A308" s="8" t="s">
        <v>262</v>
      </c>
      <c r="B308" s="15" t="s">
        <v>14</v>
      </c>
      <c r="C308" s="15" t="s">
        <v>14</v>
      </c>
      <c r="D308" s="15" t="s">
        <v>14</v>
      </c>
      <c r="E308" s="15" t="s">
        <v>14</v>
      </c>
      <c r="F308" s="15" t="s">
        <v>14</v>
      </c>
      <c r="G308" s="15" t="s">
        <v>14</v>
      </c>
      <c r="H308" s="15" t="s">
        <v>14</v>
      </c>
      <c r="I308" s="15" t="s">
        <v>14</v>
      </c>
      <c r="J308" s="15" t="s">
        <v>14</v>
      </c>
      <c r="K308" s="15" t="s">
        <v>14</v>
      </c>
    </row>
    <row r="309" spans="1:11" x14ac:dyDescent="0.25">
      <c r="A309" s="10" t="s">
        <v>115</v>
      </c>
      <c r="B309" s="9">
        <v>1404227000</v>
      </c>
      <c r="C309" s="9">
        <v>1358854000</v>
      </c>
      <c r="D309" s="9">
        <v>1394744000</v>
      </c>
      <c r="E309" s="9">
        <v>1173173000</v>
      </c>
      <c r="F309" s="9">
        <v>1597034000</v>
      </c>
      <c r="G309" s="9">
        <v>1959363000</v>
      </c>
      <c r="H309" s="9">
        <v>1808730000</v>
      </c>
      <c r="I309" s="9">
        <v>1983098000</v>
      </c>
      <c r="J309" s="9">
        <v>1255255000</v>
      </c>
      <c r="K309" s="9">
        <v>2574417000</v>
      </c>
    </row>
    <row r="310" spans="1:11" x14ac:dyDescent="0.25">
      <c r="A310" s="10" t="s">
        <v>118</v>
      </c>
      <c r="B310" s="9">
        <v>890080000</v>
      </c>
      <c r="C310" s="9">
        <v>890776000</v>
      </c>
      <c r="D310" s="9">
        <v>1239285000</v>
      </c>
      <c r="E310" s="9">
        <v>1239713000</v>
      </c>
      <c r="F310" s="9">
        <v>1240433000</v>
      </c>
      <c r="G310" s="9">
        <v>1241100000</v>
      </c>
      <c r="H310" s="9">
        <v>1235115000</v>
      </c>
      <c r="I310" s="9">
        <v>1229727000</v>
      </c>
      <c r="J310" s="9">
        <v>1007791000</v>
      </c>
      <c r="K310" s="9">
        <v>999947000</v>
      </c>
    </row>
    <row r="311" spans="1:11" x14ac:dyDescent="0.25">
      <c r="A311" s="10" t="s">
        <v>131</v>
      </c>
      <c r="B311" s="9">
        <v>565369000</v>
      </c>
      <c r="C311" s="9">
        <v>543948000</v>
      </c>
      <c r="D311" s="9">
        <v>564615000</v>
      </c>
      <c r="E311" s="9">
        <v>599685000</v>
      </c>
      <c r="F311" s="9">
        <v>723865000</v>
      </c>
      <c r="G311" s="9">
        <v>762387000</v>
      </c>
      <c r="H311" s="9">
        <v>820057000</v>
      </c>
      <c r="I311" s="9">
        <v>781352000</v>
      </c>
      <c r="J311" s="9">
        <v>820999000</v>
      </c>
      <c r="K311" s="9">
        <v>729460000</v>
      </c>
    </row>
    <row r="312" spans="1:11" x14ac:dyDescent="0.25">
      <c r="A312" s="10" t="s">
        <v>263</v>
      </c>
      <c r="B312" s="41" t="s">
        <v>14</v>
      </c>
      <c r="C312" s="41" t="s">
        <v>14</v>
      </c>
      <c r="D312" s="41" t="s">
        <v>14</v>
      </c>
      <c r="E312" s="41" t="s">
        <v>14</v>
      </c>
      <c r="F312" s="41" t="s">
        <v>14</v>
      </c>
      <c r="G312" s="41" t="s">
        <v>14</v>
      </c>
      <c r="H312" s="41" t="s">
        <v>14</v>
      </c>
      <c r="I312" s="41" t="s">
        <v>14</v>
      </c>
      <c r="J312" s="41" t="s">
        <v>14</v>
      </c>
      <c r="K312" s="41" t="s">
        <v>14</v>
      </c>
    </row>
    <row r="313" spans="1:11" x14ac:dyDescent="0.25">
      <c r="A313" s="10" t="s">
        <v>158</v>
      </c>
      <c r="B313" s="41" t="s">
        <v>14</v>
      </c>
      <c r="C313" s="41" t="s">
        <v>14</v>
      </c>
      <c r="D313" s="41" t="s">
        <v>14</v>
      </c>
      <c r="E313" s="41" t="s">
        <v>14</v>
      </c>
      <c r="F313" s="41" t="s">
        <v>14</v>
      </c>
      <c r="G313" s="41" t="s">
        <v>14</v>
      </c>
      <c r="H313" s="41" t="s">
        <v>14</v>
      </c>
      <c r="I313" s="41" t="s">
        <v>14</v>
      </c>
      <c r="J313" s="41" t="s">
        <v>14</v>
      </c>
      <c r="K313" s="41" t="s">
        <v>14</v>
      </c>
    </row>
    <row r="314" spans="1:11" x14ac:dyDescent="0.25">
      <c r="A314" s="10" t="s">
        <v>264</v>
      </c>
      <c r="B314" s="41" t="s">
        <v>14</v>
      </c>
      <c r="C314" s="41" t="s">
        <v>14</v>
      </c>
      <c r="D314" s="41" t="s">
        <v>14</v>
      </c>
      <c r="E314" s="41" t="s">
        <v>14</v>
      </c>
      <c r="F314" s="41" t="s">
        <v>14</v>
      </c>
      <c r="G314" s="41" t="s">
        <v>14</v>
      </c>
      <c r="H314" s="41" t="s">
        <v>14</v>
      </c>
      <c r="I314" s="41" t="s">
        <v>14</v>
      </c>
      <c r="J314" s="41" t="s">
        <v>14</v>
      </c>
      <c r="K314" s="41" t="s">
        <v>14</v>
      </c>
    </row>
    <row r="315" spans="1:11" x14ac:dyDescent="0.25">
      <c r="A315" s="6" t="s">
        <v>265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</row>
    <row r="316" spans="1:11" x14ac:dyDescent="0.25">
      <c r="A316" s="6" t="s">
        <v>149</v>
      </c>
      <c r="B316" s="9">
        <v>197020000</v>
      </c>
      <c r="C316" s="9">
        <v>215233000</v>
      </c>
      <c r="D316" s="9">
        <v>246757000</v>
      </c>
      <c r="E316" s="9">
        <v>268498000</v>
      </c>
      <c r="F316" s="9">
        <v>262518000</v>
      </c>
      <c r="G316" s="9">
        <v>282271000</v>
      </c>
      <c r="H316" s="9">
        <v>316749000</v>
      </c>
      <c r="I316" s="9">
        <v>340476000</v>
      </c>
      <c r="J316" s="9">
        <v>310990000</v>
      </c>
      <c r="K316" s="9">
        <v>293940000</v>
      </c>
    </row>
    <row r="317" spans="1:11" x14ac:dyDescent="0.25">
      <c r="A317" s="6" t="s">
        <v>150</v>
      </c>
      <c r="B317" s="9">
        <v>3017214000</v>
      </c>
      <c r="C317" s="9">
        <v>3114831000</v>
      </c>
      <c r="D317" s="9">
        <v>3379613000</v>
      </c>
      <c r="E317" s="9">
        <v>3228478000</v>
      </c>
      <c r="F317" s="9">
        <v>3921850000</v>
      </c>
      <c r="G317" s="9">
        <v>3762403000</v>
      </c>
      <c r="H317" s="9">
        <v>3839001000</v>
      </c>
      <c r="I317" s="9">
        <v>3462285000</v>
      </c>
      <c r="J317" s="9">
        <v>3838539000</v>
      </c>
      <c r="K317" s="9">
        <v>3599253000</v>
      </c>
    </row>
    <row r="318" spans="1:11" x14ac:dyDescent="0.25">
      <c r="A318" s="8" t="s">
        <v>151</v>
      </c>
      <c r="B318" s="11">
        <v>1407536000</v>
      </c>
      <c r="C318" s="11">
        <v>1447474000</v>
      </c>
      <c r="D318" s="11">
        <v>1447474000</v>
      </c>
      <c r="E318" s="11">
        <v>1576954000</v>
      </c>
      <c r="F318" s="11">
        <v>1576954000</v>
      </c>
      <c r="G318" s="11">
        <v>1576954000</v>
      </c>
      <c r="H318" s="11">
        <v>1576954000</v>
      </c>
      <c r="I318" s="11">
        <v>1576954000</v>
      </c>
      <c r="J318" s="11">
        <v>1576954000</v>
      </c>
      <c r="K318" s="11">
        <v>1576954000</v>
      </c>
    </row>
    <row r="319" spans="1:11" x14ac:dyDescent="0.25">
      <c r="A319" s="8" t="s">
        <v>152</v>
      </c>
      <c r="B319" s="11">
        <v>101081000</v>
      </c>
      <c r="C319" s="11">
        <v>107225000</v>
      </c>
      <c r="D319" s="11">
        <v>113767000</v>
      </c>
      <c r="E319" s="11">
        <v>-19849000</v>
      </c>
      <c r="F319" s="11">
        <v>-19833000</v>
      </c>
      <c r="G319" s="11">
        <v>-19833000</v>
      </c>
      <c r="H319" s="11">
        <v>-19833000</v>
      </c>
      <c r="I319" s="11">
        <v>-13366000</v>
      </c>
      <c r="J319" s="11">
        <v>-13366000</v>
      </c>
      <c r="K319" s="11">
        <v>-13366000</v>
      </c>
    </row>
    <row r="320" spans="1:11" x14ac:dyDescent="0.25">
      <c r="A320" s="8" t="s">
        <v>159</v>
      </c>
      <c r="B320" s="11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</row>
    <row r="321" spans="1:11" x14ac:dyDescent="0.25">
      <c r="A321" s="10" t="s">
        <v>266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</row>
    <row r="322" spans="1:11" x14ac:dyDescent="0.25">
      <c r="A322" s="10" t="s">
        <v>267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</row>
    <row r="323" spans="1:11" x14ac:dyDescent="0.25">
      <c r="A323" s="8" t="s">
        <v>160</v>
      </c>
      <c r="B323" s="11">
        <v>393156000</v>
      </c>
      <c r="C323" s="11">
        <v>393156000</v>
      </c>
      <c r="D323" s="11">
        <v>364959000</v>
      </c>
      <c r="E323" s="11">
        <v>606530000</v>
      </c>
      <c r="F323" s="11">
        <v>606530000</v>
      </c>
      <c r="G323" s="11">
        <v>606530000</v>
      </c>
      <c r="H323" s="11">
        <v>606530000</v>
      </c>
      <c r="I323" s="11">
        <v>120921000</v>
      </c>
      <c r="J323" s="11">
        <v>120921000</v>
      </c>
      <c r="K323" s="11">
        <v>120921000</v>
      </c>
    </row>
    <row r="324" spans="1:11" x14ac:dyDescent="0.25">
      <c r="A324" s="10" t="s">
        <v>161</v>
      </c>
      <c r="B324" s="9">
        <v>79510000</v>
      </c>
      <c r="C324" s="9">
        <v>79510000</v>
      </c>
      <c r="D324" s="9">
        <v>79510000</v>
      </c>
      <c r="E324" s="9">
        <v>96648000</v>
      </c>
      <c r="F324" s="9">
        <v>96648000</v>
      </c>
      <c r="G324" s="9">
        <v>96648000</v>
      </c>
      <c r="H324" s="9">
        <v>96648000</v>
      </c>
      <c r="I324" s="9">
        <v>96648000</v>
      </c>
      <c r="J324" s="9">
        <v>96648000</v>
      </c>
      <c r="K324" s="9">
        <v>96648000</v>
      </c>
    </row>
    <row r="325" spans="1:11" x14ac:dyDescent="0.25">
      <c r="A325" s="10" t="s">
        <v>162</v>
      </c>
      <c r="B325" s="9">
        <v>313646000</v>
      </c>
      <c r="C325" s="9">
        <v>313646000</v>
      </c>
      <c r="D325" s="9">
        <v>285449000</v>
      </c>
      <c r="E325" s="9">
        <v>509882000</v>
      </c>
      <c r="F325" s="9">
        <v>509882000</v>
      </c>
      <c r="G325" s="9">
        <v>509882000</v>
      </c>
      <c r="H325" s="9">
        <v>509882000</v>
      </c>
      <c r="I325" s="9">
        <v>24273000</v>
      </c>
      <c r="J325" s="9">
        <v>24273000</v>
      </c>
      <c r="K325" s="9">
        <v>24273000</v>
      </c>
    </row>
    <row r="326" spans="1:11" x14ac:dyDescent="0.25">
      <c r="A326" s="10" t="s">
        <v>163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</row>
    <row r="327" spans="1:11" x14ac:dyDescent="0.25">
      <c r="A327" s="10" t="s">
        <v>164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</row>
    <row r="328" spans="1:11" x14ac:dyDescent="0.25">
      <c r="A328" s="10" t="s">
        <v>165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</row>
    <row r="329" spans="1:11" x14ac:dyDescent="0.25">
      <c r="A329" s="10" t="s">
        <v>166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</row>
    <row r="330" spans="1:11" x14ac:dyDescent="0.25">
      <c r="A330" s="10" t="s">
        <v>268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</row>
    <row r="331" spans="1:11" x14ac:dyDescent="0.25">
      <c r="A331" s="8" t="s">
        <v>171</v>
      </c>
      <c r="B331" s="15" t="s">
        <v>14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14</v>
      </c>
      <c r="J331" s="15" t="s">
        <v>14</v>
      </c>
      <c r="K331" s="15" t="s">
        <v>14</v>
      </c>
    </row>
    <row r="332" spans="1:11" x14ac:dyDescent="0.25">
      <c r="A332" s="10" t="s">
        <v>269</v>
      </c>
      <c r="B332" s="41" t="s">
        <v>14</v>
      </c>
      <c r="C332" s="41" t="s">
        <v>14</v>
      </c>
      <c r="D332" s="41" t="s">
        <v>14</v>
      </c>
      <c r="E332" s="41" t="s">
        <v>14</v>
      </c>
      <c r="F332" s="41" t="s">
        <v>14</v>
      </c>
      <c r="G332" s="41" t="s">
        <v>14</v>
      </c>
      <c r="H332" s="41" t="s">
        <v>14</v>
      </c>
      <c r="I332" s="41" t="s">
        <v>14</v>
      </c>
      <c r="J332" s="41" t="s">
        <v>14</v>
      </c>
      <c r="K332" s="41" t="s">
        <v>14</v>
      </c>
    </row>
    <row r="333" spans="1:11" x14ac:dyDescent="0.25">
      <c r="A333" s="10" t="s">
        <v>172</v>
      </c>
      <c r="B333" s="41" t="s">
        <v>14</v>
      </c>
      <c r="C333" s="41" t="s">
        <v>14</v>
      </c>
      <c r="D333" s="41" t="s">
        <v>14</v>
      </c>
      <c r="E333" s="41" t="s">
        <v>14</v>
      </c>
      <c r="F333" s="41" t="s">
        <v>14</v>
      </c>
      <c r="G333" s="41" t="s">
        <v>14</v>
      </c>
      <c r="H333" s="41" t="s">
        <v>14</v>
      </c>
      <c r="I333" s="41" t="s">
        <v>14</v>
      </c>
      <c r="J333" s="41" t="s">
        <v>14</v>
      </c>
      <c r="K333" s="41" t="s">
        <v>14</v>
      </c>
    </row>
    <row r="334" spans="1:11" x14ac:dyDescent="0.25">
      <c r="A334" s="10" t="s">
        <v>270</v>
      </c>
      <c r="B334" s="41" t="s">
        <v>14</v>
      </c>
      <c r="C334" s="41" t="s">
        <v>14</v>
      </c>
      <c r="D334" s="41" t="s">
        <v>14</v>
      </c>
      <c r="E334" s="41" t="s">
        <v>14</v>
      </c>
      <c r="F334" s="41" t="s">
        <v>14</v>
      </c>
      <c r="G334" s="41" t="s">
        <v>14</v>
      </c>
      <c r="H334" s="41" t="s">
        <v>14</v>
      </c>
      <c r="I334" s="41" t="s">
        <v>14</v>
      </c>
      <c r="J334" s="41" t="s">
        <v>14</v>
      </c>
      <c r="K334" s="41" t="s">
        <v>14</v>
      </c>
    </row>
    <row r="335" spans="1:11" x14ac:dyDescent="0.25">
      <c r="A335" s="8" t="s">
        <v>170</v>
      </c>
      <c r="B335" s="11">
        <v>65004000</v>
      </c>
      <c r="C335" s="11">
        <v>175221000</v>
      </c>
      <c r="D335" s="11">
        <v>301864000</v>
      </c>
      <c r="E335" s="11">
        <v>0</v>
      </c>
      <c r="F335" s="11">
        <v>10686000</v>
      </c>
      <c r="G335" s="11">
        <v>-340115000</v>
      </c>
      <c r="H335" s="11">
        <v>-357441000</v>
      </c>
      <c r="I335" s="11">
        <v>0</v>
      </c>
      <c r="J335" s="11">
        <v>53010000</v>
      </c>
      <c r="K335" s="11">
        <v>269323000</v>
      </c>
    </row>
    <row r="336" spans="1:11" x14ac:dyDescent="0.25">
      <c r="A336" s="8" t="s">
        <v>158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</row>
    <row r="337" spans="1:11" x14ac:dyDescent="0.25">
      <c r="A337" s="3" t="s">
        <v>271</v>
      </c>
      <c r="B337" s="5" t="s">
        <v>14</v>
      </c>
      <c r="C337" s="5" t="s">
        <v>14</v>
      </c>
      <c r="D337" s="5" t="s">
        <v>14</v>
      </c>
      <c r="E337" s="5" t="s">
        <v>14</v>
      </c>
      <c r="F337" s="5" t="s">
        <v>14</v>
      </c>
      <c r="G337" s="5" t="s">
        <v>14</v>
      </c>
      <c r="H337" s="5" t="s">
        <v>14</v>
      </c>
      <c r="I337" s="5" t="s">
        <v>14</v>
      </c>
      <c r="J337" s="5" t="s">
        <v>14</v>
      </c>
      <c r="K337" s="5" t="s">
        <v>14</v>
      </c>
    </row>
    <row r="338" spans="1:11" x14ac:dyDescent="0.25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x14ac:dyDescent="0.25">
      <c r="A339" s="3" t="s">
        <v>174</v>
      </c>
      <c r="B339" s="5" t="s">
        <v>2</v>
      </c>
      <c r="C339" s="5" t="s">
        <v>2</v>
      </c>
      <c r="D339" s="5" t="s">
        <v>2</v>
      </c>
      <c r="E339" s="5" t="s">
        <v>2</v>
      </c>
      <c r="F339" s="5" t="s">
        <v>2</v>
      </c>
      <c r="G339" s="5" t="s">
        <v>2</v>
      </c>
      <c r="H339" s="5" t="s">
        <v>2</v>
      </c>
      <c r="I339" s="5" t="s">
        <v>2</v>
      </c>
      <c r="J339" s="5" t="s">
        <v>2</v>
      </c>
      <c r="K339" s="5" t="s">
        <v>2</v>
      </c>
    </row>
    <row r="340" spans="1:11" x14ac:dyDescent="0.25">
      <c r="A340" s="3" t="s">
        <v>175</v>
      </c>
      <c r="B340" s="5">
        <v>3</v>
      </c>
      <c r="C340" s="5">
        <v>3</v>
      </c>
      <c r="D340" s="5">
        <v>3</v>
      </c>
      <c r="E340" s="5">
        <v>3</v>
      </c>
      <c r="F340" s="5">
        <v>3</v>
      </c>
      <c r="G340" s="5">
        <v>3</v>
      </c>
      <c r="H340" s="5">
        <v>3</v>
      </c>
      <c r="I340" s="5">
        <v>3</v>
      </c>
      <c r="J340" s="5">
        <v>3</v>
      </c>
      <c r="K340" s="5">
        <v>3</v>
      </c>
    </row>
    <row r="341" spans="1:11" x14ac:dyDescent="0.25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x14ac:dyDescent="0.25">
      <c r="A342" s="3" t="s">
        <v>272</v>
      </c>
      <c r="B342" s="5" t="s">
        <v>14</v>
      </c>
      <c r="C342" s="5" t="s">
        <v>14</v>
      </c>
      <c r="D342" s="5" t="s">
        <v>14</v>
      </c>
      <c r="E342" s="5" t="s">
        <v>14</v>
      </c>
      <c r="F342" s="5" t="s">
        <v>14</v>
      </c>
      <c r="G342" s="5" t="s">
        <v>14</v>
      </c>
      <c r="H342" s="5" t="s">
        <v>14</v>
      </c>
      <c r="I342" s="5" t="s">
        <v>14</v>
      </c>
      <c r="J342" s="5" t="s">
        <v>14</v>
      </c>
      <c r="K342" s="5" t="s">
        <v>14</v>
      </c>
    </row>
    <row r="343" spans="1:11" x14ac:dyDescent="0.25">
      <c r="A343" s="3" t="s">
        <v>273</v>
      </c>
      <c r="B343" s="5" t="s">
        <v>14</v>
      </c>
      <c r="C343" s="5" t="s">
        <v>14</v>
      </c>
      <c r="D343" s="5" t="s">
        <v>14</v>
      </c>
      <c r="E343" s="5" t="s">
        <v>14</v>
      </c>
      <c r="F343" s="5" t="s">
        <v>14</v>
      </c>
      <c r="G343" s="5" t="s">
        <v>14</v>
      </c>
      <c r="H343" s="5" t="s">
        <v>14</v>
      </c>
      <c r="I343" s="5" t="s">
        <v>14</v>
      </c>
      <c r="J343" s="5" t="s">
        <v>14</v>
      </c>
      <c r="K343" s="5" t="s">
        <v>14</v>
      </c>
    </row>
    <row r="344" spans="1:11" x14ac:dyDescent="0.25">
      <c r="A344" s="3" t="s">
        <v>274</v>
      </c>
      <c r="B344" s="7">
        <v>2468119000</v>
      </c>
      <c r="C344" s="7">
        <v>2667331000</v>
      </c>
      <c r="D344" s="7">
        <v>2542311000</v>
      </c>
      <c r="E344" s="7">
        <v>2338634000</v>
      </c>
      <c r="F344" s="7">
        <v>2224560000</v>
      </c>
      <c r="G344" s="7">
        <v>1171844000</v>
      </c>
      <c r="H344" s="7">
        <v>2514756000</v>
      </c>
      <c r="I344" s="7">
        <v>2849408000</v>
      </c>
      <c r="J344" s="7">
        <v>3133096000</v>
      </c>
      <c r="K344" s="7">
        <v>3183883000</v>
      </c>
    </row>
    <row r="345" spans="1:11" x14ac:dyDescent="0.25">
      <c r="A345" s="3" t="s">
        <v>177</v>
      </c>
      <c r="B345" s="7">
        <v>2169809000</v>
      </c>
      <c r="C345" s="7">
        <v>2330756000</v>
      </c>
      <c r="D345" s="7">
        <v>2219621000</v>
      </c>
      <c r="E345" s="7">
        <v>2110991000</v>
      </c>
      <c r="F345" s="7">
        <v>2040204000</v>
      </c>
      <c r="G345" s="7">
        <v>1308180000</v>
      </c>
      <c r="H345" s="7">
        <v>2259081000</v>
      </c>
      <c r="I345" s="7">
        <v>2587790000</v>
      </c>
      <c r="J345" s="7">
        <v>2723380000</v>
      </c>
      <c r="K345" s="7">
        <v>2763165000</v>
      </c>
    </row>
    <row r="346" spans="1:11" x14ac:dyDescent="0.25">
      <c r="A346" s="3" t="s">
        <v>178</v>
      </c>
      <c r="B346" s="7">
        <v>298310000</v>
      </c>
      <c r="C346" s="7">
        <v>336575000</v>
      </c>
      <c r="D346" s="7">
        <v>322690000</v>
      </c>
      <c r="E346" s="7">
        <v>227643000</v>
      </c>
      <c r="F346" s="7">
        <v>184356000</v>
      </c>
      <c r="G346" s="7">
        <v>-136336000</v>
      </c>
      <c r="H346" s="7">
        <v>255675000</v>
      </c>
      <c r="I346" s="7">
        <v>261618000</v>
      </c>
      <c r="J346" s="7">
        <v>409716000</v>
      </c>
      <c r="K346" s="7">
        <v>420718000</v>
      </c>
    </row>
    <row r="347" spans="1:11" x14ac:dyDescent="0.25">
      <c r="A347" s="3" t="s">
        <v>275</v>
      </c>
      <c r="B347" s="5" t="s">
        <v>14</v>
      </c>
      <c r="C347" s="5" t="s">
        <v>14</v>
      </c>
      <c r="D347" s="5" t="s">
        <v>14</v>
      </c>
      <c r="E347" s="5" t="s">
        <v>14</v>
      </c>
      <c r="F347" s="5" t="s">
        <v>14</v>
      </c>
      <c r="G347" s="5" t="s">
        <v>14</v>
      </c>
      <c r="H347" s="5" t="s">
        <v>14</v>
      </c>
      <c r="I347" s="5" t="s">
        <v>14</v>
      </c>
      <c r="J347" s="5" t="s">
        <v>14</v>
      </c>
      <c r="K347" s="5" t="s">
        <v>14</v>
      </c>
    </row>
    <row r="348" spans="1:11" x14ac:dyDescent="0.25">
      <c r="A348" s="6" t="s">
        <v>276</v>
      </c>
      <c r="B348" s="9">
        <v>13873000</v>
      </c>
      <c r="C348" s="9">
        <v>9142000</v>
      </c>
      <c r="D348" s="9">
        <v>17453000</v>
      </c>
      <c r="E348" s="9">
        <v>13310000</v>
      </c>
      <c r="F348" s="9">
        <v>13258000</v>
      </c>
      <c r="G348" s="9">
        <v>13579000</v>
      </c>
      <c r="H348" s="9">
        <v>11754000</v>
      </c>
      <c r="I348" s="9">
        <v>23221000</v>
      </c>
      <c r="J348" s="9">
        <v>22412000</v>
      </c>
      <c r="K348" s="9">
        <v>12457000</v>
      </c>
    </row>
    <row r="349" spans="1:11" x14ac:dyDescent="0.25">
      <c r="A349" s="6" t="s">
        <v>277</v>
      </c>
      <c r="B349" s="9">
        <v>127101000</v>
      </c>
      <c r="C349" s="9">
        <v>124016000</v>
      </c>
      <c r="D349" s="9">
        <v>119442000</v>
      </c>
      <c r="E349" s="9">
        <v>131495000</v>
      </c>
      <c r="F349" s="9">
        <v>116998000</v>
      </c>
      <c r="G349" s="9">
        <v>118786000</v>
      </c>
      <c r="H349" s="9">
        <v>123363000</v>
      </c>
      <c r="I349" s="9">
        <v>142684000</v>
      </c>
      <c r="J349" s="9">
        <v>159462000</v>
      </c>
      <c r="K349" s="9">
        <v>166679000</v>
      </c>
    </row>
    <row r="350" spans="1:11" x14ac:dyDescent="0.25">
      <c r="A350" s="3" t="s">
        <v>278</v>
      </c>
      <c r="B350" s="5" t="s">
        <v>14</v>
      </c>
      <c r="C350" s="5" t="s">
        <v>14</v>
      </c>
      <c r="D350" s="5" t="s">
        <v>14</v>
      </c>
      <c r="E350" s="5" t="s">
        <v>14</v>
      </c>
      <c r="F350" s="5" t="s">
        <v>14</v>
      </c>
      <c r="G350" s="5" t="s">
        <v>14</v>
      </c>
      <c r="H350" s="5" t="s">
        <v>14</v>
      </c>
      <c r="I350" s="5" t="s">
        <v>14</v>
      </c>
      <c r="J350" s="5" t="s">
        <v>14</v>
      </c>
      <c r="K350" s="5" t="s">
        <v>14</v>
      </c>
    </row>
    <row r="351" spans="1:11" x14ac:dyDescent="0.25">
      <c r="A351" s="6" t="s">
        <v>279</v>
      </c>
      <c r="B351" s="41" t="s">
        <v>14</v>
      </c>
      <c r="C351" s="41" t="s">
        <v>14</v>
      </c>
      <c r="D351" s="41" t="s">
        <v>14</v>
      </c>
      <c r="E351" s="41" t="s">
        <v>14</v>
      </c>
      <c r="F351" s="41" t="s">
        <v>14</v>
      </c>
      <c r="G351" s="41" t="s">
        <v>14</v>
      </c>
      <c r="H351" s="41" t="s">
        <v>14</v>
      </c>
      <c r="I351" s="41" t="s">
        <v>14</v>
      </c>
      <c r="J351" s="41" t="s">
        <v>14</v>
      </c>
      <c r="K351" s="41" t="s">
        <v>14</v>
      </c>
    </row>
    <row r="352" spans="1:11" x14ac:dyDescent="0.25">
      <c r="A352" s="6" t="s">
        <v>280</v>
      </c>
      <c r="B352" s="41" t="s">
        <v>14</v>
      </c>
      <c r="C352" s="41" t="s">
        <v>14</v>
      </c>
      <c r="D352" s="41" t="s">
        <v>14</v>
      </c>
      <c r="E352" s="41" t="s">
        <v>14</v>
      </c>
      <c r="F352" s="41" t="s">
        <v>14</v>
      </c>
      <c r="G352" s="41" t="s">
        <v>14</v>
      </c>
      <c r="H352" s="41" t="s">
        <v>14</v>
      </c>
      <c r="I352" s="41" t="s">
        <v>14</v>
      </c>
      <c r="J352" s="41" t="s">
        <v>14</v>
      </c>
      <c r="K352" s="41" t="s">
        <v>14</v>
      </c>
    </row>
    <row r="353" spans="1:11" x14ac:dyDescent="0.25">
      <c r="A353" s="3" t="s">
        <v>281</v>
      </c>
      <c r="B353" s="5" t="s">
        <v>14</v>
      </c>
      <c r="C353" s="5" t="s">
        <v>14</v>
      </c>
      <c r="D353" s="5" t="s">
        <v>14</v>
      </c>
      <c r="E353" s="5" t="s">
        <v>14</v>
      </c>
      <c r="F353" s="5" t="s">
        <v>14</v>
      </c>
      <c r="G353" s="5" t="s">
        <v>14</v>
      </c>
      <c r="H353" s="5" t="s">
        <v>14</v>
      </c>
      <c r="I353" s="5" t="s">
        <v>14</v>
      </c>
      <c r="J353" s="5" t="s">
        <v>14</v>
      </c>
      <c r="K353" s="5" t="s">
        <v>14</v>
      </c>
    </row>
    <row r="354" spans="1:11" x14ac:dyDescent="0.25">
      <c r="A354" s="3" t="s">
        <v>282</v>
      </c>
      <c r="B354" s="5" t="s">
        <v>14</v>
      </c>
      <c r="C354" s="5" t="s">
        <v>14</v>
      </c>
      <c r="D354" s="5" t="s">
        <v>14</v>
      </c>
      <c r="E354" s="5" t="s">
        <v>14</v>
      </c>
      <c r="F354" s="5" t="s">
        <v>14</v>
      </c>
      <c r="G354" s="5" t="s">
        <v>14</v>
      </c>
      <c r="H354" s="5" t="s">
        <v>14</v>
      </c>
      <c r="I354" s="5" t="s">
        <v>14</v>
      </c>
      <c r="J354" s="5" t="s">
        <v>14</v>
      </c>
      <c r="K354" s="5" t="s">
        <v>14</v>
      </c>
    </row>
    <row r="355" spans="1:11" x14ac:dyDescent="0.25">
      <c r="A355" s="6" t="s">
        <v>188</v>
      </c>
      <c r="B355" s="9">
        <v>5792000</v>
      </c>
      <c r="C355" s="9">
        <v>4680000</v>
      </c>
      <c r="D355" s="9">
        <v>30214000</v>
      </c>
      <c r="E355" s="9">
        <v>24658000</v>
      </c>
      <c r="F355" s="9">
        <v>3421000</v>
      </c>
      <c r="G355" s="9">
        <v>7185000</v>
      </c>
      <c r="H355" s="9">
        <v>4346000</v>
      </c>
      <c r="I355" s="9">
        <v>18414000</v>
      </c>
      <c r="J355" s="9">
        <v>4640000</v>
      </c>
      <c r="K355" s="9">
        <v>67079000</v>
      </c>
    </row>
    <row r="356" spans="1:11" x14ac:dyDescent="0.25">
      <c r="A356" s="6" t="s">
        <v>283</v>
      </c>
      <c r="B356" s="41" t="s">
        <v>14</v>
      </c>
      <c r="C356" s="41" t="s">
        <v>14</v>
      </c>
      <c r="D356" s="41" t="s">
        <v>14</v>
      </c>
      <c r="E356" s="41" t="s">
        <v>14</v>
      </c>
      <c r="F356" s="41" t="s">
        <v>14</v>
      </c>
      <c r="G356" s="41" t="s">
        <v>14</v>
      </c>
      <c r="H356" s="41" t="s">
        <v>14</v>
      </c>
      <c r="I356" s="41" t="s">
        <v>14</v>
      </c>
      <c r="J356" s="41" t="s">
        <v>14</v>
      </c>
      <c r="K356" s="41" t="s">
        <v>14</v>
      </c>
    </row>
    <row r="357" spans="1:11" x14ac:dyDescent="0.25">
      <c r="A357" s="8" t="s">
        <v>284</v>
      </c>
      <c r="B357" s="11">
        <v>83594000</v>
      </c>
      <c r="C357" s="11">
        <v>54384000</v>
      </c>
      <c r="D357" s="11">
        <v>54319000</v>
      </c>
      <c r="E357" s="11">
        <v>42951000</v>
      </c>
      <c r="F357" s="11">
        <v>53001000</v>
      </c>
      <c r="G357" s="11">
        <v>91306000</v>
      </c>
      <c r="H357" s="11">
        <v>46586000</v>
      </c>
      <c r="I357" s="11">
        <v>75459000</v>
      </c>
      <c r="J357" s="11">
        <v>63682000</v>
      </c>
      <c r="K357" s="11">
        <v>135622000</v>
      </c>
    </row>
    <row r="358" spans="1:11" x14ac:dyDescent="0.25">
      <c r="A358" s="8" t="s">
        <v>285</v>
      </c>
      <c r="B358" s="15" t="s">
        <v>14</v>
      </c>
      <c r="C358" s="15" t="s">
        <v>14</v>
      </c>
      <c r="D358" s="15" t="s">
        <v>14</v>
      </c>
      <c r="E358" s="15" t="s">
        <v>14</v>
      </c>
      <c r="F358" s="15" t="s">
        <v>14</v>
      </c>
      <c r="G358" s="15" t="s">
        <v>14</v>
      </c>
      <c r="H358" s="15" t="s">
        <v>14</v>
      </c>
      <c r="I358" s="15" t="s">
        <v>14</v>
      </c>
      <c r="J358" s="15" t="s">
        <v>14</v>
      </c>
      <c r="K358" s="15" t="s">
        <v>14</v>
      </c>
    </row>
    <row r="359" spans="1:11" x14ac:dyDescent="0.25">
      <c r="A359" s="3" t="s">
        <v>286</v>
      </c>
      <c r="B359" s="7">
        <v>-7728000</v>
      </c>
      <c r="C359" s="7">
        <v>-3753000</v>
      </c>
      <c r="D359" s="7">
        <v>-9917000</v>
      </c>
      <c r="E359" s="7">
        <v>-2504000</v>
      </c>
      <c r="F359" s="7">
        <v>5632000</v>
      </c>
      <c r="G359" s="7">
        <v>-2269000</v>
      </c>
      <c r="H359" s="7">
        <v>539000</v>
      </c>
      <c r="I359" s="7">
        <v>-1859000</v>
      </c>
      <c r="J359" s="7">
        <v>931000</v>
      </c>
      <c r="K359" s="7">
        <v>10652000</v>
      </c>
    </row>
    <row r="360" spans="1:11" x14ac:dyDescent="0.25">
      <c r="A360" s="3" t="s">
        <v>287</v>
      </c>
      <c r="B360" s="5" t="s">
        <v>14</v>
      </c>
      <c r="C360" s="5" t="s">
        <v>14</v>
      </c>
      <c r="D360" s="5" t="s">
        <v>14</v>
      </c>
      <c r="E360" s="5" t="s">
        <v>14</v>
      </c>
      <c r="F360" s="5" t="s">
        <v>14</v>
      </c>
      <c r="G360" s="5" t="s">
        <v>14</v>
      </c>
      <c r="H360" s="5" t="s">
        <v>14</v>
      </c>
      <c r="I360" s="5" t="s">
        <v>14</v>
      </c>
      <c r="J360" s="5" t="s">
        <v>14</v>
      </c>
      <c r="K360" s="5" t="s">
        <v>14</v>
      </c>
    </row>
    <row r="361" spans="1:11" x14ac:dyDescent="0.25">
      <c r="A361" s="3" t="s">
        <v>288</v>
      </c>
      <c r="B361" s="5" t="s">
        <v>14</v>
      </c>
      <c r="C361" s="5" t="s">
        <v>14</v>
      </c>
      <c r="D361" s="5" t="s">
        <v>14</v>
      </c>
      <c r="E361" s="5" t="s">
        <v>14</v>
      </c>
      <c r="F361" s="5" t="s">
        <v>14</v>
      </c>
      <c r="G361" s="5" t="s">
        <v>14</v>
      </c>
      <c r="H361" s="5" t="s">
        <v>14</v>
      </c>
      <c r="I361" s="5" t="s">
        <v>14</v>
      </c>
      <c r="J361" s="5" t="s">
        <v>14</v>
      </c>
      <c r="K361" s="5" t="s">
        <v>14</v>
      </c>
    </row>
    <row r="362" spans="1:11" x14ac:dyDescent="0.25">
      <c r="A362" s="6" t="s">
        <v>289</v>
      </c>
      <c r="B362" s="41" t="s">
        <v>14</v>
      </c>
      <c r="C362" s="41" t="s">
        <v>14</v>
      </c>
      <c r="D362" s="41" t="s">
        <v>14</v>
      </c>
      <c r="E362" s="41" t="s">
        <v>14</v>
      </c>
      <c r="F362" s="41" t="s">
        <v>14</v>
      </c>
      <c r="G362" s="41" t="s">
        <v>14</v>
      </c>
      <c r="H362" s="41" t="s">
        <v>14</v>
      </c>
      <c r="I362" s="41" t="s">
        <v>14</v>
      </c>
      <c r="J362" s="41" t="s">
        <v>14</v>
      </c>
      <c r="K362" s="41" t="s">
        <v>14</v>
      </c>
    </row>
    <row r="363" spans="1:11" x14ac:dyDescent="0.25">
      <c r="A363" s="6" t="s">
        <v>290</v>
      </c>
      <c r="B363" s="41" t="s">
        <v>14</v>
      </c>
      <c r="C363" s="41" t="s">
        <v>14</v>
      </c>
      <c r="D363" s="41" t="s">
        <v>14</v>
      </c>
      <c r="E363" s="41" t="s">
        <v>14</v>
      </c>
      <c r="F363" s="41" t="s">
        <v>14</v>
      </c>
      <c r="G363" s="41" t="s">
        <v>14</v>
      </c>
      <c r="H363" s="41" t="s">
        <v>14</v>
      </c>
      <c r="I363" s="41" t="s">
        <v>14</v>
      </c>
      <c r="J363" s="41" t="s">
        <v>14</v>
      </c>
      <c r="K363" s="41" t="s">
        <v>14</v>
      </c>
    </row>
    <row r="364" spans="1:11" x14ac:dyDescent="0.25">
      <c r="A364" s="3" t="s">
        <v>190</v>
      </c>
      <c r="B364" s="7">
        <v>65965000</v>
      </c>
      <c r="C364" s="7">
        <v>151948000</v>
      </c>
      <c r="D364" s="7">
        <v>202632000</v>
      </c>
      <c r="E364" s="7">
        <v>85806000</v>
      </c>
      <c r="F364" s="7">
        <v>35916000</v>
      </c>
      <c r="G364" s="7">
        <v>-416155000</v>
      </c>
      <c r="H364" s="7">
        <v>29239000</v>
      </c>
      <c r="I364" s="7">
        <v>-66707000</v>
      </c>
      <c r="J364" s="7">
        <v>164039000</v>
      </c>
      <c r="K364" s="7">
        <v>385748000</v>
      </c>
    </row>
    <row r="365" spans="1:11" x14ac:dyDescent="0.25">
      <c r="A365" s="3" t="s">
        <v>291</v>
      </c>
      <c r="B365" s="7">
        <v>60493000</v>
      </c>
      <c r="C365" s="7">
        <v>50226000</v>
      </c>
      <c r="D365" s="7">
        <v>46957000</v>
      </c>
      <c r="E365" s="7">
        <v>20564000</v>
      </c>
      <c r="F365" s="7">
        <v>36588000</v>
      </c>
      <c r="G365" s="7">
        <v>-4858000</v>
      </c>
      <c r="H365" s="7">
        <v>29013000</v>
      </c>
      <c r="I365" s="7">
        <v>27830000</v>
      </c>
      <c r="J365" s="7">
        <v>78198000</v>
      </c>
      <c r="K365" s="7">
        <v>167367000</v>
      </c>
    </row>
    <row r="366" spans="1:11" x14ac:dyDescent="0.25">
      <c r="A366" s="3" t="s">
        <v>292</v>
      </c>
      <c r="B366" s="7">
        <v>-75582000</v>
      </c>
      <c r="C366" s="7">
        <v>-28340000</v>
      </c>
      <c r="D366" s="7">
        <v>8867000</v>
      </c>
      <c r="E366" s="7">
        <v>1751000</v>
      </c>
      <c r="F366" s="7">
        <v>-30998000</v>
      </c>
      <c r="G366" s="7">
        <v>-59611000</v>
      </c>
      <c r="H366" s="7">
        <v>5919000</v>
      </c>
      <c r="I366" s="7">
        <v>-1676000</v>
      </c>
      <c r="J366" s="7">
        <v>7839000</v>
      </c>
      <c r="K366" s="7">
        <v>-16641000</v>
      </c>
    </row>
    <row r="367" spans="1:11" x14ac:dyDescent="0.25">
      <c r="A367" s="3" t="s">
        <v>293</v>
      </c>
      <c r="B367" s="5" t="s">
        <v>14</v>
      </c>
      <c r="C367" s="5" t="s">
        <v>14</v>
      </c>
      <c r="D367" s="5" t="s">
        <v>14</v>
      </c>
      <c r="E367" s="5" t="s">
        <v>14</v>
      </c>
      <c r="F367" s="5" t="s">
        <v>14</v>
      </c>
      <c r="G367" s="5" t="s">
        <v>14</v>
      </c>
      <c r="H367" s="5" t="s">
        <v>14</v>
      </c>
      <c r="I367" s="5" t="s">
        <v>14</v>
      </c>
      <c r="J367" s="5" t="s">
        <v>14</v>
      </c>
      <c r="K367" s="5" t="s">
        <v>14</v>
      </c>
    </row>
    <row r="368" spans="1:11" x14ac:dyDescent="0.25">
      <c r="A368" s="6" t="s">
        <v>294</v>
      </c>
      <c r="B368" s="41" t="s">
        <v>14</v>
      </c>
      <c r="C368" s="41" t="s">
        <v>14</v>
      </c>
      <c r="D368" s="41" t="s">
        <v>14</v>
      </c>
      <c r="E368" s="41" t="s">
        <v>14</v>
      </c>
      <c r="F368" s="41" t="s">
        <v>14</v>
      </c>
      <c r="G368" s="41" t="s">
        <v>14</v>
      </c>
      <c r="H368" s="41" t="s">
        <v>14</v>
      </c>
      <c r="I368" s="41" t="s">
        <v>14</v>
      </c>
      <c r="J368" s="41" t="s">
        <v>14</v>
      </c>
      <c r="K368" s="41" t="s">
        <v>14</v>
      </c>
    </row>
    <row r="369" spans="1:11" x14ac:dyDescent="0.25">
      <c r="A369" s="6" t="s">
        <v>295</v>
      </c>
      <c r="B369" s="41" t="s">
        <v>14</v>
      </c>
      <c r="C369" s="41" t="s">
        <v>14</v>
      </c>
      <c r="D369" s="41" t="s">
        <v>14</v>
      </c>
      <c r="E369" s="41" t="s">
        <v>14</v>
      </c>
      <c r="F369" s="41" t="s">
        <v>14</v>
      </c>
      <c r="G369" s="41" t="s">
        <v>14</v>
      </c>
      <c r="H369" s="41" t="s">
        <v>14</v>
      </c>
      <c r="I369" s="41" t="s">
        <v>14</v>
      </c>
      <c r="J369" s="41" t="s">
        <v>14</v>
      </c>
      <c r="K369" s="41" t="s">
        <v>14</v>
      </c>
    </row>
    <row r="370" spans="1:11" x14ac:dyDescent="0.25">
      <c r="A370" s="3" t="s">
        <v>296</v>
      </c>
      <c r="B370" s="5" t="s">
        <v>14</v>
      </c>
      <c r="C370" s="5" t="s">
        <v>14</v>
      </c>
      <c r="D370" s="5" t="s">
        <v>14</v>
      </c>
      <c r="E370" s="5" t="s">
        <v>14</v>
      </c>
      <c r="F370" s="5" t="s">
        <v>14</v>
      </c>
      <c r="G370" s="5" t="s">
        <v>14</v>
      </c>
      <c r="H370" s="5" t="s">
        <v>14</v>
      </c>
      <c r="I370" s="5" t="s">
        <v>14</v>
      </c>
      <c r="J370" s="5" t="s">
        <v>14</v>
      </c>
      <c r="K370" s="5" t="s">
        <v>14</v>
      </c>
    </row>
    <row r="371" spans="1:11" x14ac:dyDescent="0.25">
      <c r="A371" s="3" t="s">
        <v>199</v>
      </c>
      <c r="B371" s="7">
        <v>17956000</v>
      </c>
      <c r="C371" s="7">
        <v>19672000</v>
      </c>
      <c r="D371" s="7">
        <v>21970000</v>
      </c>
      <c r="E371" s="7">
        <v>24382000</v>
      </c>
      <c r="F371" s="7">
        <v>21176000</v>
      </c>
      <c r="G371" s="7">
        <v>667000</v>
      </c>
      <c r="H371" s="7">
        <v>13184000</v>
      </c>
      <c r="I371" s="7">
        <v>36839000</v>
      </c>
      <c r="J371" s="7">
        <v>26500000</v>
      </c>
      <c r="K371" s="7">
        <v>20235000</v>
      </c>
    </row>
    <row r="372" spans="1:11" x14ac:dyDescent="0.25">
      <c r="A372" s="3" t="s">
        <v>200</v>
      </c>
      <c r="B372" s="7">
        <v>63098000</v>
      </c>
      <c r="C372" s="7">
        <v>110390000</v>
      </c>
      <c r="D372" s="7">
        <v>124838000</v>
      </c>
      <c r="E372" s="7">
        <v>39109000</v>
      </c>
      <c r="F372" s="7">
        <v>9150000</v>
      </c>
      <c r="G372" s="7">
        <v>-352353000</v>
      </c>
      <c r="H372" s="7">
        <v>-18877000</v>
      </c>
      <c r="I372" s="7">
        <v>-129700000</v>
      </c>
      <c r="J372" s="7">
        <v>51502000</v>
      </c>
      <c r="K372" s="7">
        <v>214787000</v>
      </c>
    </row>
    <row r="373" spans="1:11" x14ac:dyDescent="0.25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x14ac:dyDescent="0.25">
      <c r="A374" s="3" t="s">
        <v>297</v>
      </c>
      <c r="B374" s="5" t="s">
        <v>2</v>
      </c>
      <c r="C374" s="5" t="s">
        <v>2</v>
      </c>
      <c r="D374" s="5" t="s">
        <v>2</v>
      </c>
      <c r="E374" s="5" t="s">
        <v>2</v>
      </c>
      <c r="F374" s="5" t="s">
        <v>2</v>
      </c>
      <c r="G374" s="5" t="s">
        <v>2</v>
      </c>
      <c r="H374" s="5" t="s">
        <v>2</v>
      </c>
      <c r="I374" s="5" t="s">
        <v>2</v>
      </c>
      <c r="J374" s="5" t="s">
        <v>2</v>
      </c>
      <c r="K374" s="5" t="s">
        <v>2</v>
      </c>
    </row>
    <row r="375" spans="1:11" x14ac:dyDescent="0.25">
      <c r="A375" s="3" t="s">
        <v>175</v>
      </c>
      <c r="B375" s="5">
        <v>3</v>
      </c>
      <c r="C375" s="5">
        <v>3</v>
      </c>
      <c r="D375" s="5">
        <v>3</v>
      </c>
      <c r="E375" s="5">
        <v>3</v>
      </c>
      <c r="F375" s="5">
        <v>3</v>
      </c>
      <c r="G375" s="5">
        <v>3</v>
      </c>
      <c r="H375" s="5">
        <v>3</v>
      </c>
      <c r="I375" s="5">
        <v>3</v>
      </c>
      <c r="J375" s="5">
        <v>3</v>
      </c>
      <c r="K375" s="5">
        <v>3</v>
      </c>
    </row>
    <row r="376" spans="1:11" x14ac:dyDescent="0.25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x14ac:dyDescent="0.25">
      <c r="A377" s="3" t="s">
        <v>298</v>
      </c>
      <c r="B377" s="5" t="s">
        <v>14</v>
      </c>
      <c r="C377" s="5" t="s">
        <v>14</v>
      </c>
      <c r="D377" s="5" t="s">
        <v>14</v>
      </c>
      <c r="E377" s="5" t="s">
        <v>14</v>
      </c>
      <c r="F377" s="5" t="s">
        <v>14</v>
      </c>
      <c r="G377" s="5" t="s">
        <v>14</v>
      </c>
      <c r="H377" s="5" t="s">
        <v>14</v>
      </c>
      <c r="I377" s="5" t="s">
        <v>14</v>
      </c>
      <c r="J377" s="5" t="s">
        <v>14</v>
      </c>
      <c r="K377" s="5" t="s">
        <v>14</v>
      </c>
    </row>
    <row r="378" spans="1:11" x14ac:dyDescent="0.25">
      <c r="A378" s="6" t="s">
        <v>299</v>
      </c>
      <c r="B378" s="41" t="s">
        <v>14</v>
      </c>
      <c r="C378" s="41" t="s">
        <v>14</v>
      </c>
      <c r="D378" s="41" t="s">
        <v>14</v>
      </c>
      <c r="E378" s="41" t="s">
        <v>14</v>
      </c>
      <c r="F378" s="41" t="s">
        <v>14</v>
      </c>
      <c r="G378" s="41" t="s">
        <v>14</v>
      </c>
      <c r="H378" s="41" t="s">
        <v>14</v>
      </c>
      <c r="I378" s="41" t="s">
        <v>14</v>
      </c>
      <c r="J378" s="41" t="s">
        <v>14</v>
      </c>
      <c r="K378" s="41" t="s">
        <v>14</v>
      </c>
    </row>
    <row r="379" spans="1:11" x14ac:dyDescent="0.25">
      <c r="A379" s="8" t="s">
        <v>300</v>
      </c>
      <c r="B379" s="15" t="s">
        <v>14</v>
      </c>
      <c r="C379" s="15" t="s">
        <v>14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 t="s">
        <v>14</v>
      </c>
    </row>
    <row r="380" spans="1:11" x14ac:dyDescent="0.25">
      <c r="A380" s="8" t="s">
        <v>301</v>
      </c>
      <c r="B380" s="15" t="s">
        <v>14</v>
      </c>
      <c r="C380" s="15" t="s">
        <v>14</v>
      </c>
      <c r="D380" s="15" t="s">
        <v>14</v>
      </c>
      <c r="E380" s="15" t="s">
        <v>14</v>
      </c>
      <c r="F380" s="15" t="s">
        <v>14</v>
      </c>
      <c r="G380" s="15" t="s">
        <v>14</v>
      </c>
      <c r="H380" s="15" t="s">
        <v>14</v>
      </c>
      <c r="I380" s="15" t="s">
        <v>14</v>
      </c>
      <c r="J380" s="15" t="s">
        <v>14</v>
      </c>
      <c r="K380" s="15" t="s">
        <v>14</v>
      </c>
    </row>
    <row r="381" spans="1:11" x14ac:dyDescent="0.25">
      <c r="A381" s="10" t="s">
        <v>302</v>
      </c>
      <c r="B381" s="41" t="s">
        <v>14</v>
      </c>
      <c r="C381" s="41" t="s">
        <v>14</v>
      </c>
      <c r="D381" s="41" t="s">
        <v>14</v>
      </c>
      <c r="E381" s="41" t="s">
        <v>14</v>
      </c>
      <c r="F381" s="41" t="s">
        <v>14</v>
      </c>
      <c r="G381" s="41" t="s">
        <v>14</v>
      </c>
      <c r="H381" s="41" t="s">
        <v>14</v>
      </c>
      <c r="I381" s="41" t="s">
        <v>14</v>
      </c>
      <c r="J381" s="41" t="s">
        <v>14</v>
      </c>
      <c r="K381" s="41" t="s">
        <v>14</v>
      </c>
    </row>
    <row r="382" spans="1:11" x14ac:dyDescent="0.25">
      <c r="A382" s="10" t="s">
        <v>303</v>
      </c>
      <c r="B382" s="41" t="s">
        <v>14</v>
      </c>
      <c r="C382" s="41" t="s">
        <v>14</v>
      </c>
      <c r="D382" s="41" t="s">
        <v>14</v>
      </c>
      <c r="E382" s="41" t="s">
        <v>14</v>
      </c>
      <c r="F382" s="41" t="s">
        <v>14</v>
      </c>
      <c r="G382" s="41" t="s">
        <v>14</v>
      </c>
      <c r="H382" s="41" t="s">
        <v>14</v>
      </c>
      <c r="I382" s="41" t="s">
        <v>14</v>
      </c>
      <c r="J382" s="41" t="s">
        <v>14</v>
      </c>
      <c r="K382" s="41" t="s">
        <v>14</v>
      </c>
    </row>
    <row r="383" spans="1:11" x14ac:dyDescent="0.25">
      <c r="A383" s="10" t="s">
        <v>304</v>
      </c>
      <c r="B383" s="41" t="s">
        <v>14</v>
      </c>
      <c r="C383" s="41" t="s">
        <v>14</v>
      </c>
      <c r="D383" s="41" t="s">
        <v>14</v>
      </c>
      <c r="E383" s="41" t="s">
        <v>14</v>
      </c>
      <c r="F383" s="41" t="s">
        <v>14</v>
      </c>
      <c r="G383" s="41" t="s">
        <v>14</v>
      </c>
      <c r="H383" s="41" t="s">
        <v>14</v>
      </c>
      <c r="I383" s="41" t="s">
        <v>14</v>
      </c>
      <c r="J383" s="41" t="s">
        <v>14</v>
      </c>
      <c r="K383" s="41" t="s">
        <v>14</v>
      </c>
    </row>
    <row r="384" spans="1:11" x14ac:dyDescent="0.25">
      <c r="A384" s="10" t="s">
        <v>305</v>
      </c>
      <c r="B384" s="41" t="s">
        <v>14</v>
      </c>
      <c r="C384" s="41" t="s">
        <v>14</v>
      </c>
      <c r="D384" s="41" t="s">
        <v>14</v>
      </c>
      <c r="E384" s="41" t="s">
        <v>14</v>
      </c>
      <c r="F384" s="41" t="s">
        <v>14</v>
      </c>
      <c r="G384" s="41" t="s">
        <v>14</v>
      </c>
      <c r="H384" s="41" t="s">
        <v>14</v>
      </c>
      <c r="I384" s="41" t="s">
        <v>14</v>
      </c>
      <c r="J384" s="41" t="s">
        <v>14</v>
      </c>
      <c r="K384" s="41" t="s">
        <v>14</v>
      </c>
    </row>
    <row r="385" spans="1:11" x14ac:dyDescent="0.25">
      <c r="A385" s="10" t="s">
        <v>306</v>
      </c>
      <c r="B385" s="41" t="s">
        <v>14</v>
      </c>
      <c r="C385" s="41" t="s">
        <v>14</v>
      </c>
      <c r="D385" s="41" t="s">
        <v>14</v>
      </c>
      <c r="E385" s="41" t="s">
        <v>14</v>
      </c>
      <c r="F385" s="41" t="s">
        <v>14</v>
      </c>
      <c r="G385" s="41" t="s">
        <v>14</v>
      </c>
      <c r="H385" s="41" t="s">
        <v>14</v>
      </c>
      <c r="I385" s="41" t="s">
        <v>14</v>
      </c>
      <c r="J385" s="41" t="s">
        <v>14</v>
      </c>
      <c r="K385" s="41" t="s">
        <v>14</v>
      </c>
    </row>
    <row r="386" spans="1:11" x14ac:dyDescent="0.25">
      <c r="A386" s="10" t="s">
        <v>307</v>
      </c>
      <c r="B386" s="41" t="s">
        <v>14</v>
      </c>
      <c r="C386" s="41" t="s">
        <v>14</v>
      </c>
      <c r="D386" s="41" t="s">
        <v>14</v>
      </c>
      <c r="E386" s="41" t="s">
        <v>14</v>
      </c>
      <c r="F386" s="41" t="s">
        <v>14</v>
      </c>
      <c r="G386" s="41" t="s">
        <v>14</v>
      </c>
      <c r="H386" s="41" t="s">
        <v>14</v>
      </c>
      <c r="I386" s="41" t="s">
        <v>14</v>
      </c>
      <c r="J386" s="41" t="s">
        <v>14</v>
      </c>
      <c r="K386" s="41" t="s">
        <v>14</v>
      </c>
    </row>
    <row r="387" spans="1:11" x14ac:dyDescent="0.25">
      <c r="A387" s="10" t="s">
        <v>308</v>
      </c>
      <c r="B387" s="41" t="s">
        <v>14</v>
      </c>
      <c r="C387" s="41" t="s">
        <v>14</v>
      </c>
      <c r="D387" s="41" t="s">
        <v>14</v>
      </c>
      <c r="E387" s="41" t="s">
        <v>14</v>
      </c>
      <c r="F387" s="41" t="s">
        <v>14</v>
      </c>
      <c r="G387" s="41" t="s">
        <v>14</v>
      </c>
      <c r="H387" s="41" t="s">
        <v>14</v>
      </c>
      <c r="I387" s="41" t="s">
        <v>14</v>
      </c>
      <c r="J387" s="41" t="s">
        <v>14</v>
      </c>
      <c r="K387" s="41" t="s">
        <v>14</v>
      </c>
    </row>
    <row r="388" spans="1:11" x14ac:dyDescent="0.25">
      <c r="A388" s="10" t="s">
        <v>309</v>
      </c>
      <c r="B388" s="41" t="s">
        <v>14</v>
      </c>
      <c r="C388" s="41" t="s">
        <v>14</v>
      </c>
      <c r="D388" s="41" t="s">
        <v>14</v>
      </c>
      <c r="E388" s="41" t="s">
        <v>14</v>
      </c>
      <c r="F388" s="41" t="s">
        <v>14</v>
      </c>
      <c r="G388" s="41" t="s">
        <v>14</v>
      </c>
      <c r="H388" s="41" t="s">
        <v>14</v>
      </c>
      <c r="I388" s="41" t="s">
        <v>14</v>
      </c>
      <c r="J388" s="41" t="s">
        <v>14</v>
      </c>
      <c r="K388" s="41" t="s">
        <v>14</v>
      </c>
    </row>
    <row r="389" spans="1:11" x14ac:dyDescent="0.25">
      <c r="A389" s="10" t="s">
        <v>310</v>
      </c>
      <c r="B389" s="41" t="s">
        <v>14</v>
      </c>
      <c r="C389" s="41" t="s">
        <v>14</v>
      </c>
      <c r="D389" s="41" t="s">
        <v>14</v>
      </c>
      <c r="E389" s="41" t="s">
        <v>14</v>
      </c>
      <c r="F389" s="41" t="s">
        <v>14</v>
      </c>
      <c r="G389" s="41" t="s">
        <v>14</v>
      </c>
      <c r="H389" s="41" t="s">
        <v>14</v>
      </c>
      <c r="I389" s="41" t="s">
        <v>14</v>
      </c>
      <c r="J389" s="41" t="s">
        <v>14</v>
      </c>
      <c r="K389" s="41" t="s">
        <v>14</v>
      </c>
    </row>
    <row r="390" spans="1:11" x14ac:dyDescent="0.25">
      <c r="A390" s="10" t="s">
        <v>311</v>
      </c>
      <c r="B390" s="41" t="s">
        <v>14</v>
      </c>
      <c r="C390" s="41" t="s">
        <v>14</v>
      </c>
      <c r="D390" s="41" t="s">
        <v>14</v>
      </c>
      <c r="E390" s="41" t="s">
        <v>14</v>
      </c>
      <c r="F390" s="41" t="s">
        <v>14</v>
      </c>
      <c r="G390" s="41" t="s">
        <v>14</v>
      </c>
      <c r="H390" s="41" t="s">
        <v>14</v>
      </c>
      <c r="I390" s="41" t="s">
        <v>14</v>
      </c>
      <c r="J390" s="41" t="s">
        <v>14</v>
      </c>
      <c r="K390" s="41" t="s">
        <v>14</v>
      </c>
    </row>
    <row r="391" spans="1:11" x14ac:dyDescent="0.25">
      <c r="A391" s="10" t="s">
        <v>312</v>
      </c>
      <c r="B391" s="41" t="s">
        <v>14</v>
      </c>
      <c r="C391" s="41" t="s">
        <v>14</v>
      </c>
      <c r="D391" s="41" t="s">
        <v>14</v>
      </c>
      <c r="E391" s="41" t="s">
        <v>14</v>
      </c>
      <c r="F391" s="41" t="s">
        <v>14</v>
      </c>
      <c r="G391" s="41" t="s">
        <v>14</v>
      </c>
      <c r="H391" s="41" t="s">
        <v>14</v>
      </c>
      <c r="I391" s="41" t="s">
        <v>14</v>
      </c>
      <c r="J391" s="41" t="s">
        <v>14</v>
      </c>
      <c r="K391" s="41" t="s">
        <v>14</v>
      </c>
    </row>
    <row r="392" spans="1:11" x14ac:dyDescent="0.25">
      <c r="A392" s="10" t="s">
        <v>313</v>
      </c>
      <c r="B392" s="41" t="s">
        <v>14</v>
      </c>
      <c r="C392" s="41" t="s">
        <v>14</v>
      </c>
      <c r="D392" s="41" t="s">
        <v>14</v>
      </c>
      <c r="E392" s="41" t="s">
        <v>14</v>
      </c>
      <c r="F392" s="41" t="s">
        <v>14</v>
      </c>
      <c r="G392" s="41" t="s">
        <v>14</v>
      </c>
      <c r="H392" s="41" t="s">
        <v>14</v>
      </c>
      <c r="I392" s="41" t="s">
        <v>14</v>
      </c>
      <c r="J392" s="41" t="s">
        <v>14</v>
      </c>
      <c r="K392" s="41" t="s">
        <v>14</v>
      </c>
    </row>
    <row r="393" spans="1:11" x14ac:dyDescent="0.25">
      <c r="A393" s="10" t="s">
        <v>314</v>
      </c>
      <c r="B393" s="41" t="s">
        <v>14</v>
      </c>
      <c r="C393" s="41" t="s">
        <v>14</v>
      </c>
      <c r="D393" s="41" t="s">
        <v>14</v>
      </c>
      <c r="E393" s="41" t="s">
        <v>14</v>
      </c>
      <c r="F393" s="41" t="s">
        <v>14</v>
      </c>
      <c r="G393" s="41" t="s">
        <v>14</v>
      </c>
      <c r="H393" s="41" t="s">
        <v>14</v>
      </c>
      <c r="I393" s="41" t="s">
        <v>14</v>
      </c>
      <c r="J393" s="41" t="s">
        <v>14</v>
      </c>
      <c r="K393" s="41" t="s">
        <v>14</v>
      </c>
    </row>
    <row r="394" spans="1:11" x14ac:dyDescent="0.25">
      <c r="A394" s="10" t="s">
        <v>315</v>
      </c>
      <c r="B394" s="41" t="s">
        <v>14</v>
      </c>
      <c r="C394" s="41" t="s">
        <v>14</v>
      </c>
      <c r="D394" s="41" t="s">
        <v>14</v>
      </c>
      <c r="E394" s="41" t="s">
        <v>14</v>
      </c>
      <c r="F394" s="41" t="s">
        <v>14</v>
      </c>
      <c r="G394" s="41" t="s">
        <v>14</v>
      </c>
      <c r="H394" s="41" t="s">
        <v>14</v>
      </c>
      <c r="I394" s="41" t="s">
        <v>14</v>
      </c>
      <c r="J394" s="41" t="s">
        <v>14</v>
      </c>
      <c r="K394" s="41" t="s">
        <v>14</v>
      </c>
    </row>
    <row r="395" spans="1:11" x14ac:dyDescent="0.25">
      <c r="A395" s="6" t="s">
        <v>316</v>
      </c>
      <c r="B395" s="41" t="s">
        <v>14</v>
      </c>
      <c r="C395" s="41" t="s">
        <v>14</v>
      </c>
      <c r="D395" s="41" t="s">
        <v>14</v>
      </c>
      <c r="E395" s="41" t="s">
        <v>14</v>
      </c>
      <c r="F395" s="41" t="s">
        <v>14</v>
      </c>
      <c r="G395" s="41" t="s">
        <v>14</v>
      </c>
      <c r="H395" s="41" t="s">
        <v>14</v>
      </c>
      <c r="I395" s="41" t="s">
        <v>14</v>
      </c>
      <c r="J395" s="41" t="s">
        <v>14</v>
      </c>
      <c r="K395" s="41" t="s">
        <v>14</v>
      </c>
    </row>
    <row r="396" spans="1:11" x14ac:dyDescent="0.25">
      <c r="A396" s="6" t="s">
        <v>317</v>
      </c>
      <c r="B396" s="41" t="s">
        <v>14</v>
      </c>
      <c r="C396" s="41" t="s">
        <v>14</v>
      </c>
      <c r="D396" s="41" t="s">
        <v>14</v>
      </c>
      <c r="E396" s="41" t="s">
        <v>14</v>
      </c>
      <c r="F396" s="41" t="s">
        <v>14</v>
      </c>
      <c r="G396" s="41" t="s">
        <v>14</v>
      </c>
      <c r="H396" s="41" t="s">
        <v>14</v>
      </c>
      <c r="I396" s="41" t="s">
        <v>14</v>
      </c>
      <c r="J396" s="41" t="s">
        <v>14</v>
      </c>
      <c r="K396" s="41" t="s">
        <v>14</v>
      </c>
    </row>
    <row r="397" spans="1:11" x14ac:dyDescent="0.25">
      <c r="A397" s="8" t="s">
        <v>318</v>
      </c>
      <c r="B397" s="15" t="s">
        <v>14</v>
      </c>
      <c r="C397" s="15" t="s">
        <v>14</v>
      </c>
      <c r="D397" s="15" t="s">
        <v>14</v>
      </c>
      <c r="E397" s="15" t="s">
        <v>14</v>
      </c>
      <c r="F397" s="15" t="s">
        <v>14</v>
      </c>
      <c r="G397" s="15" t="s">
        <v>14</v>
      </c>
      <c r="H397" s="15" t="s">
        <v>14</v>
      </c>
      <c r="I397" s="15" t="s">
        <v>14</v>
      </c>
      <c r="J397" s="15" t="s">
        <v>14</v>
      </c>
      <c r="K397" s="15" t="s">
        <v>14</v>
      </c>
    </row>
    <row r="398" spans="1:11" x14ac:dyDescent="0.25">
      <c r="A398" s="8" t="s">
        <v>226</v>
      </c>
      <c r="B398" s="15" t="s">
        <v>14</v>
      </c>
      <c r="C398" s="15" t="s">
        <v>14</v>
      </c>
      <c r="D398" s="15" t="s">
        <v>14</v>
      </c>
      <c r="E398" s="15" t="s">
        <v>14</v>
      </c>
      <c r="F398" s="15" t="s">
        <v>14</v>
      </c>
      <c r="G398" s="15" t="s">
        <v>14</v>
      </c>
      <c r="H398" s="15" t="s">
        <v>14</v>
      </c>
      <c r="I398" s="15" t="s">
        <v>14</v>
      </c>
      <c r="J398" s="15" t="s">
        <v>14</v>
      </c>
      <c r="K398" s="15" t="s">
        <v>14</v>
      </c>
    </row>
    <row r="399" spans="1:11" x14ac:dyDescent="0.25">
      <c r="A399" s="8" t="s">
        <v>319</v>
      </c>
      <c r="B399" s="15" t="s">
        <v>14</v>
      </c>
      <c r="C399" s="15" t="s">
        <v>14</v>
      </c>
      <c r="D399" s="15" t="s">
        <v>14</v>
      </c>
      <c r="E399" s="15" t="s">
        <v>14</v>
      </c>
      <c r="F399" s="15" t="s">
        <v>14</v>
      </c>
      <c r="G399" s="15" t="s">
        <v>14</v>
      </c>
      <c r="H399" s="15" t="s">
        <v>14</v>
      </c>
      <c r="I399" s="15" t="s">
        <v>14</v>
      </c>
      <c r="J399" s="15" t="s">
        <v>14</v>
      </c>
      <c r="K399" s="15" t="s">
        <v>14</v>
      </c>
    </row>
    <row r="400" spans="1:11" x14ac:dyDescent="0.25">
      <c r="A400" s="8" t="s">
        <v>320</v>
      </c>
      <c r="B400" s="15" t="s">
        <v>14</v>
      </c>
      <c r="C400" s="15" t="s">
        <v>14</v>
      </c>
      <c r="D400" s="15" t="s">
        <v>14</v>
      </c>
      <c r="E400" s="15" t="s">
        <v>14</v>
      </c>
      <c r="F400" s="15" t="s">
        <v>14</v>
      </c>
      <c r="G400" s="15" t="s">
        <v>14</v>
      </c>
      <c r="H400" s="15" t="s">
        <v>14</v>
      </c>
      <c r="I400" s="15" t="s">
        <v>14</v>
      </c>
      <c r="J400" s="15" t="s">
        <v>14</v>
      </c>
      <c r="K400" s="15" t="s">
        <v>14</v>
      </c>
    </row>
    <row r="401" spans="1:11" x14ac:dyDescent="0.25">
      <c r="A401" s="8" t="s">
        <v>321</v>
      </c>
      <c r="B401" s="15" t="s">
        <v>14</v>
      </c>
      <c r="C401" s="15" t="s">
        <v>14</v>
      </c>
      <c r="D401" s="15" t="s">
        <v>14</v>
      </c>
      <c r="E401" s="15" t="s">
        <v>14</v>
      </c>
      <c r="F401" s="15" t="s">
        <v>14</v>
      </c>
      <c r="G401" s="15" t="s">
        <v>14</v>
      </c>
      <c r="H401" s="15" t="s">
        <v>14</v>
      </c>
      <c r="I401" s="15" t="s">
        <v>14</v>
      </c>
      <c r="J401" s="15" t="s">
        <v>14</v>
      </c>
      <c r="K401" s="15" t="s">
        <v>14</v>
      </c>
    </row>
    <row r="402" spans="1:11" x14ac:dyDescent="0.25">
      <c r="A402" s="8" t="s">
        <v>322</v>
      </c>
      <c r="B402" s="15" t="s">
        <v>14</v>
      </c>
      <c r="C402" s="15" t="s">
        <v>14</v>
      </c>
      <c r="D402" s="15" t="s">
        <v>14</v>
      </c>
      <c r="E402" s="15" t="s">
        <v>14</v>
      </c>
      <c r="F402" s="15" t="s">
        <v>14</v>
      </c>
      <c r="G402" s="15" t="s">
        <v>14</v>
      </c>
      <c r="H402" s="15" t="s">
        <v>14</v>
      </c>
      <c r="I402" s="15" t="s">
        <v>14</v>
      </c>
      <c r="J402" s="15" t="s">
        <v>14</v>
      </c>
      <c r="K402" s="15" t="s">
        <v>14</v>
      </c>
    </row>
    <row r="403" spans="1:11" x14ac:dyDescent="0.25">
      <c r="A403" s="8" t="s">
        <v>323</v>
      </c>
      <c r="B403" s="15" t="s">
        <v>14</v>
      </c>
      <c r="C403" s="15" t="s">
        <v>14</v>
      </c>
      <c r="D403" s="15" t="s">
        <v>14</v>
      </c>
      <c r="E403" s="15" t="s">
        <v>14</v>
      </c>
      <c r="F403" s="15" t="s">
        <v>14</v>
      </c>
      <c r="G403" s="15" t="s">
        <v>14</v>
      </c>
      <c r="H403" s="15" t="s">
        <v>14</v>
      </c>
      <c r="I403" s="15" t="s">
        <v>14</v>
      </c>
      <c r="J403" s="15" t="s">
        <v>14</v>
      </c>
      <c r="K403" s="15" t="s">
        <v>14</v>
      </c>
    </row>
    <row r="404" spans="1:11" x14ac:dyDescent="0.25">
      <c r="A404" s="8" t="s">
        <v>324</v>
      </c>
      <c r="B404" s="15" t="s">
        <v>14</v>
      </c>
      <c r="C404" s="15" t="s">
        <v>14</v>
      </c>
      <c r="D404" s="15" t="s">
        <v>14</v>
      </c>
      <c r="E404" s="15" t="s">
        <v>14</v>
      </c>
      <c r="F404" s="15" t="s">
        <v>14</v>
      </c>
      <c r="G404" s="15" t="s">
        <v>14</v>
      </c>
      <c r="H404" s="15" t="s">
        <v>14</v>
      </c>
      <c r="I404" s="15" t="s">
        <v>14</v>
      </c>
      <c r="J404" s="15" t="s">
        <v>14</v>
      </c>
      <c r="K404" s="15" t="s">
        <v>14</v>
      </c>
    </row>
    <row r="405" spans="1:11" x14ac:dyDescent="0.25">
      <c r="A405" s="8" t="s">
        <v>325</v>
      </c>
      <c r="B405" s="15" t="s">
        <v>14</v>
      </c>
      <c r="C405" s="15" t="s">
        <v>14</v>
      </c>
      <c r="D405" s="15" t="s">
        <v>14</v>
      </c>
      <c r="E405" s="15" t="s">
        <v>14</v>
      </c>
      <c r="F405" s="15" t="s">
        <v>14</v>
      </c>
      <c r="G405" s="15" t="s">
        <v>14</v>
      </c>
      <c r="H405" s="15" t="s">
        <v>14</v>
      </c>
      <c r="I405" s="15" t="s">
        <v>14</v>
      </c>
      <c r="J405" s="15" t="s">
        <v>14</v>
      </c>
      <c r="K405" s="15" t="s">
        <v>14</v>
      </c>
    </row>
    <row r="406" spans="1:11" x14ac:dyDescent="0.25">
      <c r="A406" s="8" t="s">
        <v>326</v>
      </c>
      <c r="B406" s="15" t="s">
        <v>14</v>
      </c>
      <c r="C406" s="15" t="s">
        <v>14</v>
      </c>
      <c r="D406" s="15" t="s">
        <v>14</v>
      </c>
      <c r="E406" s="15" t="s">
        <v>14</v>
      </c>
      <c r="F406" s="15" t="s">
        <v>14</v>
      </c>
      <c r="G406" s="15" t="s">
        <v>14</v>
      </c>
      <c r="H406" s="15" t="s">
        <v>14</v>
      </c>
      <c r="I406" s="15" t="s">
        <v>14</v>
      </c>
      <c r="J406" s="15" t="s">
        <v>14</v>
      </c>
      <c r="K406" s="15" t="s">
        <v>14</v>
      </c>
    </row>
    <row r="407" spans="1:11" x14ac:dyDescent="0.25">
      <c r="A407" s="3" t="s">
        <v>327</v>
      </c>
      <c r="B407" s="5" t="s">
        <v>14</v>
      </c>
      <c r="C407" s="5" t="s">
        <v>14</v>
      </c>
      <c r="D407" s="5" t="s">
        <v>14</v>
      </c>
      <c r="E407" s="5" t="s">
        <v>14</v>
      </c>
      <c r="F407" s="5" t="s">
        <v>14</v>
      </c>
      <c r="G407" s="5" t="s">
        <v>14</v>
      </c>
      <c r="H407" s="5" t="s">
        <v>14</v>
      </c>
      <c r="I407" s="5" t="s">
        <v>14</v>
      </c>
      <c r="J407" s="5" t="s">
        <v>14</v>
      </c>
      <c r="K407" s="5" t="s">
        <v>14</v>
      </c>
    </row>
    <row r="408" spans="1:11" x14ac:dyDescent="0.25">
      <c r="A408" s="6" t="s">
        <v>328</v>
      </c>
      <c r="B408" s="41" t="s">
        <v>14</v>
      </c>
      <c r="C408" s="41" t="s">
        <v>14</v>
      </c>
      <c r="D408" s="41" t="s">
        <v>14</v>
      </c>
      <c r="E408" s="41" t="s">
        <v>14</v>
      </c>
      <c r="F408" s="41" t="s">
        <v>14</v>
      </c>
      <c r="G408" s="41" t="s">
        <v>14</v>
      </c>
      <c r="H408" s="41" t="s">
        <v>14</v>
      </c>
      <c r="I408" s="41" t="s">
        <v>14</v>
      </c>
      <c r="J408" s="41" t="s">
        <v>14</v>
      </c>
      <c r="K408" s="41" t="s">
        <v>14</v>
      </c>
    </row>
    <row r="409" spans="1:11" x14ac:dyDescent="0.25">
      <c r="A409" s="8" t="s">
        <v>329</v>
      </c>
      <c r="B409" s="15" t="s">
        <v>14</v>
      </c>
      <c r="C409" s="15" t="s">
        <v>14</v>
      </c>
      <c r="D409" s="15" t="s">
        <v>14</v>
      </c>
      <c r="E409" s="15" t="s">
        <v>14</v>
      </c>
      <c r="F409" s="15" t="s">
        <v>14</v>
      </c>
      <c r="G409" s="15" t="s">
        <v>14</v>
      </c>
      <c r="H409" s="15" t="s">
        <v>14</v>
      </c>
      <c r="I409" s="15" t="s">
        <v>14</v>
      </c>
      <c r="J409" s="15" t="s">
        <v>14</v>
      </c>
      <c r="K409" s="15" t="s">
        <v>14</v>
      </c>
    </row>
    <row r="410" spans="1:11" x14ac:dyDescent="0.25">
      <c r="A410" s="8" t="s">
        <v>330</v>
      </c>
      <c r="B410" s="15" t="s">
        <v>14</v>
      </c>
      <c r="C410" s="15" t="s">
        <v>14</v>
      </c>
      <c r="D410" s="15" t="s">
        <v>14</v>
      </c>
      <c r="E410" s="15" t="s">
        <v>14</v>
      </c>
      <c r="F410" s="15" t="s">
        <v>14</v>
      </c>
      <c r="G410" s="15" t="s">
        <v>14</v>
      </c>
      <c r="H410" s="15" t="s">
        <v>14</v>
      </c>
      <c r="I410" s="15" t="s">
        <v>14</v>
      </c>
      <c r="J410" s="15" t="s">
        <v>14</v>
      </c>
      <c r="K410" s="15" t="s">
        <v>14</v>
      </c>
    </row>
    <row r="411" spans="1:11" x14ac:dyDescent="0.25">
      <c r="A411" s="8" t="s">
        <v>331</v>
      </c>
      <c r="B411" s="15" t="s">
        <v>14</v>
      </c>
      <c r="C411" s="15" t="s">
        <v>14</v>
      </c>
      <c r="D411" s="15" t="s">
        <v>14</v>
      </c>
      <c r="E411" s="15" t="s">
        <v>14</v>
      </c>
      <c r="F411" s="15" t="s">
        <v>14</v>
      </c>
      <c r="G411" s="15" t="s">
        <v>14</v>
      </c>
      <c r="H411" s="15" t="s">
        <v>14</v>
      </c>
      <c r="I411" s="15" t="s">
        <v>14</v>
      </c>
      <c r="J411" s="15" t="s">
        <v>14</v>
      </c>
      <c r="K411" s="15" t="s">
        <v>14</v>
      </c>
    </row>
    <row r="412" spans="1:11" x14ac:dyDescent="0.25">
      <c r="A412" s="6" t="s">
        <v>332</v>
      </c>
      <c r="B412" s="41" t="s">
        <v>14</v>
      </c>
      <c r="C412" s="41" t="s">
        <v>14</v>
      </c>
      <c r="D412" s="41" t="s">
        <v>14</v>
      </c>
      <c r="E412" s="41" t="s">
        <v>14</v>
      </c>
      <c r="F412" s="41" t="s">
        <v>14</v>
      </c>
      <c r="G412" s="41" t="s">
        <v>14</v>
      </c>
      <c r="H412" s="41" t="s">
        <v>14</v>
      </c>
      <c r="I412" s="41" t="s">
        <v>14</v>
      </c>
      <c r="J412" s="41" t="s">
        <v>14</v>
      </c>
      <c r="K412" s="41" t="s">
        <v>14</v>
      </c>
    </row>
    <row r="413" spans="1:11" x14ac:dyDescent="0.25">
      <c r="A413" s="6" t="s">
        <v>333</v>
      </c>
      <c r="B413" s="41" t="s">
        <v>14</v>
      </c>
      <c r="C413" s="41" t="s">
        <v>14</v>
      </c>
      <c r="D413" s="41" t="s">
        <v>14</v>
      </c>
      <c r="E413" s="41" t="s">
        <v>14</v>
      </c>
      <c r="F413" s="41" t="s">
        <v>14</v>
      </c>
      <c r="G413" s="41" t="s">
        <v>14</v>
      </c>
      <c r="H413" s="41" t="s">
        <v>14</v>
      </c>
      <c r="I413" s="41" t="s">
        <v>14</v>
      </c>
      <c r="J413" s="41" t="s">
        <v>14</v>
      </c>
      <c r="K413" s="41" t="s">
        <v>14</v>
      </c>
    </row>
    <row r="414" spans="1:11" x14ac:dyDescent="0.25">
      <c r="A414" s="6" t="s">
        <v>334</v>
      </c>
      <c r="B414" s="41" t="s">
        <v>14</v>
      </c>
      <c r="C414" s="41" t="s">
        <v>14</v>
      </c>
      <c r="D414" s="41" t="s">
        <v>14</v>
      </c>
      <c r="E414" s="41" t="s">
        <v>14</v>
      </c>
      <c r="F414" s="41" t="s">
        <v>14</v>
      </c>
      <c r="G414" s="41" t="s">
        <v>14</v>
      </c>
      <c r="H414" s="41" t="s">
        <v>14</v>
      </c>
      <c r="I414" s="41" t="s">
        <v>14</v>
      </c>
      <c r="J414" s="41" t="s">
        <v>14</v>
      </c>
      <c r="K414" s="41" t="s">
        <v>14</v>
      </c>
    </row>
    <row r="415" spans="1:11" x14ac:dyDescent="0.25">
      <c r="A415" s="6" t="s">
        <v>335</v>
      </c>
      <c r="B415" s="41" t="s">
        <v>14</v>
      </c>
      <c r="C415" s="41" t="s">
        <v>14</v>
      </c>
      <c r="D415" s="41" t="s">
        <v>14</v>
      </c>
      <c r="E415" s="41" t="s">
        <v>14</v>
      </c>
      <c r="F415" s="41" t="s">
        <v>14</v>
      </c>
      <c r="G415" s="41" t="s">
        <v>14</v>
      </c>
      <c r="H415" s="41" t="s">
        <v>14</v>
      </c>
      <c r="I415" s="41" t="s">
        <v>14</v>
      </c>
      <c r="J415" s="41" t="s">
        <v>14</v>
      </c>
      <c r="K415" s="41" t="s">
        <v>14</v>
      </c>
    </row>
    <row r="416" spans="1:11" x14ac:dyDescent="0.25">
      <c r="A416" s="6" t="s">
        <v>336</v>
      </c>
      <c r="B416" s="41" t="s">
        <v>14</v>
      </c>
      <c r="C416" s="41" t="s">
        <v>14</v>
      </c>
      <c r="D416" s="41" t="s">
        <v>14</v>
      </c>
      <c r="E416" s="41" t="s">
        <v>14</v>
      </c>
      <c r="F416" s="41" t="s">
        <v>14</v>
      </c>
      <c r="G416" s="41" t="s">
        <v>14</v>
      </c>
      <c r="H416" s="41" t="s">
        <v>14</v>
      </c>
      <c r="I416" s="41" t="s">
        <v>14</v>
      </c>
      <c r="J416" s="41" t="s">
        <v>14</v>
      </c>
      <c r="K416" s="41" t="s">
        <v>14</v>
      </c>
    </row>
    <row r="417" spans="1:11" x14ac:dyDescent="0.25">
      <c r="A417" s="6" t="s">
        <v>337</v>
      </c>
      <c r="B417" s="41" t="s">
        <v>14</v>
      </c>
      <c r="C417" s="41" t="s">
        <v>14</v>
      </c>
      <c r="D417" s="41" t="s">
        <v>14</v>
      </c>
      <c r="E417" s="41" t="s">
        <v>14</v>
      </c>
      <c r="F417" s="41" t="s">
        <v>14</v>
      </c>
      <c r="G417" s="41" t="s">
        <v>14</v>
      </c>
      <c r="H417" s="41" t="s">
        <v>14</v>
      </c>
      <c r="I417" s="41" t="s">
        <v>14</v>
      </c>
      <c r="J417" s="41" t="s">
        <v>14</v>
      </c>
      <c r="K417" s="41" t="s">
        <v>14</v>
      </c>
    </row>
    <row r="418" spans="1:11" x14ac:dyDescent="0.25">
      <c r="A418" s="6" t="s">
        <v>338</v>
      </c>
      <c r="B418" s="41" t="s">
        <v>14</v>
      </c>
      <c r="C418" s="41" t="s">
        <v>14</v>
      </c>
      <c r="D418" s="41" t="s">
        <v>14</v>
      </c>
      <c r="E418" s="41" t="s">
        <v>14</v>
      </c>
      <c r="F418" s="41" t="s">
        <v>14</v>
      </c>
      <c r="G418" s="41" t="s">
        <v>14</v>
      </c>
      <c r="H418" s="41" t="s">
        <v>14</v>
      </c>
      <c r="I418" s="41" t="s">
        <v>14</v>
      </c>
      <c r="J418" s="41" t="s">
        <v>14</v>
      </c>
      <c r="K418" s="41" t="s">
        <v>14</v>
      </c>
    </row>
    <row r="419" spans="1:11" x14ac:dyDescent="0.25">
      <c r="A419" s="6" t="s">
        <v>339</v>
      </c>
      <c r="B419" s="41" t="s">
        <v>14</v>
      </c>
      <c r="C419" s="41" t="s">
        <v>14</v>
      </c>
      <c r="D419" s="41" t="s">
        <v>14</v>
      </c>
      <c r="E419" s="41" t="s">
        <v>14</v>
      </c>
      <c r="F419" s="41" t="s">
        <v>14</v>
      </c>
      <c r="G419" s="41" t="s">
        <v>14</v>
      </c>
      <c r="H419" s="41" t="s">
        <v>14</v>
      </c>
      <c r="I419" s="41" t="s">
        <v>14</v>
      </c>
      <c r="J419" s="41" t="s">
        <v>14</v>
      </c>
      <c r="K419" s="41" t="s">
        <v>14</v>
      </c>
    </row>
    <row r="420" spans="1:11" x14ac:dyDescent="0.25">
      <c r="A420" s="6" t="s">
        <v>340</v>
      </c>
      <c r="B420" s="41" t="s">
        <v>14</v>
      </c>
      <c r="C420" s="41" t="s">
        <v>14</v>
      </c>
      <c r="D420" s="41" t="s">
        <v>14</v>
      </c>
      <c r="E420" s="41" t="s">
        <v>14</v>
      </c>
      <c r="F420" s="41" t="s">
        <v>14</v>
      </c>
      <c r="G420" s="41" t="s">
        <v>14</v>
      </c>
      <c r="H420" s="41" t="s">
        <v>14</v>
      </c>
      <c r="I420" s="41" t="s">
        <v>14</v>
      </c>
      <c r="J420" s="41" t="s">
        <v>14</v>
      </c>
      <c r="K420" s="41" t="s">
        <v>14</v>
      </c>
    </row>
    <row r="421" spans="1:11" x14ac:dyDescent="0.25">
      <c r="A421" s="6" t="s">
        <v>341</v>
      </c>
      <c r="B421" s="41" t="s">
        <v>14</v>
      </c>
      <c r="C421" s="41" t="s">
        <v>14</v>
      </c>
      <c r="D421" s="41" t="s">
        <v>14</v>
      </c>
      <c r="E421" s="41" t="s">
        <v>14</v>
      </c>
      <c r="F421" s="41" t="s">
        <v>14</v>
      </c>
      <c r="G421" s="41" t="s">
        <v>14</v>
      </c>
      <c r="H421" s="41" t="s">
        <v>14</v>
      </c>
      <c r="I421" s="41" t="s">
        <v>14</v>
      </c>
      <c r="J421" s="41" t="s">
        <v>14</v>
      </c>
      <c r="K421" s="41" t="s">
        <v>14</v>
      </c>
    </row>
    <row r="422" spans="1:11" x14ac:dyDescent="0.25">
      <c r="A422" s="3" t="s">
        <v>342</v>
      </c>
      <c r="B422" s="5" t="s">
        <v>14</v>
      </c>
      <c r="C422" s="5" t="s">
        <v>14</v>
      </c>
      <c r="D422" s="5" t="s">
        <v>14</v>
      </c>
      <c r="E422" s="5" t="s">
        <v>14</v>
      </c>
      <c r="F422" s="5" t="s">
        <v>14</v>
      </c>
      <c r="G422" s="5" t="s">
        <v>14</v>
      </c>
      <c r="H422" s="5" t="s">
        <v>14</v>
      </c>
      <c r="I422" s="5" t="s">
        <v>14</v>
      </c>
      <c r="J422" s="5" t="s">
        <v>14</v>
      </c>
      <c r="K422" s="5" t="s">
        <v>14</v>
      </c>
    </row>
    <row r="423" spans="1:11" x14ac:dyDescent="0.25">
      <c r="A423" s="3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x14ac:dyDescent="0.25">
      <c r="A424" s="3" t="s">
        <v>343</v>
      </c>
      <c r="B424" s="5" t="s">
        <v>2</v>
      </c>
      <c r="C424" s="5" t="s">
        <v>2</v>
      </c>
      <c r="D424" s="5" t="s">
        <v>2</v>
      </c>
      <c r="E424" s="5" t="s">
        <v>2</v>
      </c>
      <c r="F424" s="5" t="s">
        <v>2</v>
      </c>
      <c r="G424" s="5" t="s">
        <v>2</v>
      </c>
      <c r="H424" s="5" t="s">
        <v>2</v>
      </c>
      <c r="I424" s="5" t="s">
        <v>2</v>
      </c>
      <c r="J424" s="5" t="s">
        <v>2</v>
      </c>
      <c r="K424" s="5" t="s">
        <v>2</v>
      </c>
    </row>
    <row r="425" spans="1:11" x14ac:dyDescent="0.25">
      <c r="A425" s="3" t="s">
        <v>344</v>
      </c>
      <c r="B425" s="7">
        <v>149220000</v>
      </c>
      <c r="C425" s="7">
        <v>152365000</v>
      </c>
      <c r="D425" s="7">
        <v>152365000</v>
      </c>
      <c r="E425" s="7">
        <v>152365000</v>
      </c>
      <c r="F425" s="7">
        <v>152365000</v>
      </c>
      <c r="G425" s="7">
        <v>152365000</v>
      </c>
      <c r="H425" s="7">
        <v>152365000</v>
      </c>
      <c r="I425" s="7">
        <v>152370000</v>
      </c>
      <c r="J425" s="7">
        <v>152370000</v>
      </c>
      <c r="K425" s="7">
        <v>152370000</v>
      </c>
    </row>
    <row r="426" spans="1:11" x14ac:dyDescent="0.25">
      <c r="A426" s="3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x14ac:dyDescent="0.25">
      <c r="A427" s="3" t="s">
        <v>1</v>
      </c>
      <c r="B427" s="5" t="s">
        <v>2</v>
      </c>
      <c r="C427" s="5" t="s">
        <v>2</v>
      </c>
      <c r="D427" s="5" t="s">
        <v>2</v>
      </c>
      <c r="E427" s="5" t="s">
        <v>2</v>
      </c>
      <c r="F427" s="5" t="s">
        <v>2</v>
      </c>
      <c r="G427" s="5" t="s">
        <v>2</v>
      </c>
      <c r="H427" s="5" t="s">
        <v>2</v>
      </c>
      <c r="I427" s="5" t="s">
        <v>2</v>
      </c>
      <c r="J427" s="5" t="s">
        <v>2</v>
      </c>
      <c r="K427" s="5" t="s">
        <v>2</v>
      </c>
    </row>
    <row r="428" spans="1:11" x14ac:dyDescent="0.25">
      <c r="A428" s="3" t="s">
        <v>345</v>
      </c>
      <c r="B428" s="16">
        <v>43555</v>
      </c>
      <c r="C428" s="16">
        <v>43646</v>
      </c>
      <c r="D428" s="16">
        <v>43738</v>
      </c>
      <c r="E428" s="16">
        <v>43830</v>
      </c>
      <c r="F428" s="16">
        <v>43921</v>
      </c>
      <c r="G428" s="16">
        <v>44012</v>
      </c>
      <c r="H428" s="16">
        <v>44104</v>
      </c>
      <c r="I428" s="16">
        <v>44196</v>
      </c>
      <c r="J428" s="16">
        <v>44286</v>
      </c>
      <c r="K428" s="16">
        <v>44377</v>
      </c>
    </row>
    <row r="429" spans="1:11" x14ac:dyDescent="0.25">
      <c r="A429" s="3" t="s">
        <v>346</v>
      </c>
      <c r="B429" s="16">
        <v>43555</v>
      </c>
      <c r="C429" s="16">
        <v>43646</v>
      </c>
      <c r="D429" s="16">
        <v>43738</v>
      </c>
      <c r="E429" s="16">
        <v>43830</v>
      </c>
      <c r="F429" s="16">
        <v>43921</v>
      </c>
      <c r="G429" s="16">
        <v>44012</v>
      </c>
      <c r="H429" s="16">
        <v>44104</v>
      </c>
      <c r="I429" s="16">
        <v>44196</v>
      </c>
      <c r="J429" s="16">
        <v>44286</v>
      </c>
      <c r="K429" s="16">
        <v>44377</v>
      </c>
    </row>
    <row r="430" spans="1:11" x14ac:dyDescent="0.25">
      <c r="A430" s="3" t="s">
        <v>347</v>
      </c>
      <c r="B430" s="16">
        <v>43593</v>
      </c>
      <c r="C430" s="16">
        <v>43683</v>
      </c>
      <c r="D430" s="16">
        <v>43775</v>
      </c>
      <c r="E430" s="16">
        <v>43895</v>
      </c>
      <c r="F430" s="16">
        <v>43965</v>
      </c>
      <c r="G430" s="16">
        <v>44056</v>
      </c>
      <c r="H430" s="16">
        <v>44138</v>
      </c>
      <c r="I430" s="16">
        <v>44258</v>
      </c>
      <c r="J430" s="16">
        <v>44333</v>
      </c>
      <c r="K430" s="16">
        <v>44419</v>
      </c>
    </row>
    <row r="431" spans="1:11" x14ac:dyDescent="0.25">
      <c r="A431" s="3" t="s">
        <v>348</v>
      </c>
      <c r="B431" s="16">
        <v>43594</v>
      </c>
      <c r="C431" s="16">
        <v>43683</v>
      </c>
      <c r="D431" s="16">
        <v>43776</v>
      </c>
      <c r="E431" s="16">
        <v>43896</v>
      </c>
      <c r="F431" s="16">
        <v>43966</v>
      </c>
      <c r="G431" s="16">
        <v>44056</v>
      </c>
      <c r="H431" s="16">
        <v>44139</v>
      </c>
      <c r="I431" s="16">
        <v>44258</v>
      </c>
      <c r="J431" s="16">
        <v>44333</v>
      </c>
      <c r="K431" s="16">
        <v>44420</v>
      </c>
    </row>
    <row r="432" spans="1:11" x14ac:dyDescent="0.25">
      <c r="A432" s="3" t="s">
        <v>349</v>
      </c>
      <c r="B432" s="5" t="s">
        <v>350</v>
      </c>
      <c r="C432" s="5" t="s">
        <v>350</v>
      </c>
      <c r="D432" s="5" t="s">
        <v>350</v>
      </c>
      <c r="E432" s="5" t="s">
        <v>350</v>
      </c>
      <c r="F432" s="5" t="s">
        <v>350</v>
      </c>
      <c r="G432" s="5" t="s">
        <v>350</v>
      </c>
      <c r="H432" s="5" t="s">
        <v>350</v>
      </c>
      <c r="I432" s="5" t="s">
        <v>350</v>
      </c>
      <c r="J432" s="5" t="s">
        <v>350</v>
      </c>
      <c r="K432" s="5" t="s">
        <v>350</v>
      </c>
    </row>
    <row r="433" spans="1:11" x14ac:dyDescent="0.25">
      <c r="A433" s="3" t="s">
        <v>351</v>
      </c>
      <c r="B433" s="5" t="s">
        <v>352</v>
      </c>
      <c r="C433" s="5" t="s">
        <v>352</v>
      </c>
      <c r="D433" s="5" t="s">
        <v>352</v>
      </c>
      <c r="E433" s="5" t="s">
        <v>352</v>
      </c>
      <c r="F433" s="5" t="s">
        <v>352</v>
      </c>
      <c r="G433" s="5" t="s">
        <v>352</v>
      </c>
      <c r="H433" s="5" t="s">
        <v>352</v>
      </c>
      <c r="I433" s="5" t="s">
        <v>352</v>
      </c>
      <c r="J433" s="5" t="s">
        <v>352</v>
      </c>
      <c r="K433" s="5" t="s">
        <v>352</v>
      </c>
    </row>
    <row r="434" spans="1:11" x14ac:dyDescent="0.25">
      <c r="A434" s="3" t="s">
        <v>3</v>
      </c>
      <c r="B434" s="5" t="s">
        <v>4</v>
      </c>
      <c r="C434" s="5" t="s">
        <v>4</v>
      </c>
      <c r="D434" s="5" t="s">
        <v>4</v>
      </c>
      <c r="E434" s="5" t="s">
        <v>4</v>
      </c>
      <c r="F434" s="5" t="s">
        <v>4</v>
      </c>
      <c r="G434" s="5" t="s">
        <v>4</v>
      </c>
      <c r="H434" s="5" t="s">
        <v>4</v>
      </c>
      <c r="I434" s="5" t="s">
        <v>4</v>
      </c>
      <c r="J434" s="5" t="s">
        <v>4</v>
      </c>
      <c r="K434" s="5" t="s">
        <v>4</v>
      </c>
    </row>
    <row r="435" spans="1:11" x14ac:dyDescent="0.25">
      <c r="A435" s="3" t="s">
        <v>353</v>
      </c>
      <c r="B435" s="5" t="s">
        <v>354</v>
      </c>
      <c r="C435" s="5" t="s">
        <v>354</v>
      </c>
      <c r="D435" s="5" t="s">
        <v>354</v>
      </c>
      <c r="E435" s="5" t="s">
        <v>354</v>
      </c>
      <c r="F435" s="5" t="s">
        <v>354</v>
      </c>
      <c r="G435" s="5" t="s">
        <v>354</v>
      </c>
      <c r="H435" s="5" t="s">
        <v>354</v>
      </c>
      <c r="I435" s="5" t="s">
        <v>354</v>
      </c>
      <c r="J435" s="5" t="s">
        <v>354</v>
      </c>
      <c r="K435" s="5" t="s">
        <v>354</v>
      </c>
    </row>
    <row r="436" spans="1:11" x14ac:dyDescent="0.25">
      <c r="A436" s="3" t="s">
        <v>355</v>
      </c>
      <c r="B436" s="5" t="s">
        <v>356</v>
      </c>
      <c r="C436" s="5" t="s">
        <v>356</v>
      </c>
      <c r="D436" s="5" t="s">
        <v>356</v>
      </c>
      <c r="E436" s="5" t="s">
        <v>356</v>
      </c>
      <c r="F436" s="5" t="s">
        <v>356</v>
      </c>
      <c r="G436" s="5" t="s">
        <v>356</v>
      </c>
      <c r="H436" s="5" t="s">
        <v>356</v>
      </c>
      <c r="I436" s="5" t="s">
        <v>356</v>
      </c>
      <c r="J436" s="5" t="s">
        <v>356</v>
      </c>
      <c r="K436" s="5" t="s">
        <v>356</v>
      </c>
    </row>
  </sheetData>
  <pageMargins left="0.7" right="0.7" top="0.75" bottom="0.75" header="0.3" footer="0.3"/>
  <pageSetup paperSize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Iochpe_Anual_e_2_Tri</vt:lpstr>
      <vt:lpstr>Indicadores</vt:lpstr>
      <vt:lpstr>Ciclo_Financeiro</vt:lpstr>
      <vt:lpstr>Endividamento</vt:lpstr>
      <vt:lpstr>Iochpe_Trimestral_aux</vt:lpstr>
      <vt:lpstr>Iochpe_Anual</vt:lpstr>
      <vt:lpstr>Iochpe_2_Tri</vt:lpstr>
      <vt:lpstr>Iochpe_Trimestral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Zenon Farias Braga Filho</cp:lastModifiedBy>
  <dcterms:created xsi:type="dcterms:W3CDTF">2000-01-01T12:00:00Z</dcterms:created>
  <dcterms:modified xsi:type="dcterms:W3CDTF">2021-10-24T01:17:14Z</dcterms:modified>
</cp:coreProperties>
</file>