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邓宇飞\Desktop\"/>
    </mc:Choice>
  </mc:AlternateContent>
  <xr:revisionPtr revIDLastSave="0" documentId="13_ncr:1_{56868B4F-2BA8-4F9E-9117-868561F294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US&amp;Taipan" sheetId="1" r:id="rId1"/>
    <sheet name="REMUS放缩系数" sheetId="2" r:id="rId2"/>
    <sheet name="目标模型参数表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S13" i="2"/>
  <c r="I25" i="2"/>
  <c r="I20" i="2"/>
  <c r="X53" i="2"/>
  <c r="X54" i="2"/>
  <c r="X55" i="2"/>
  <c r="X52" i="2"/>
  <c r="S54" i="2"/>
  <c r="S55" i="2"/>
  <c r="S56" i="2"/>
  <c r="S57" i="2"/>
  <c r="S53" i="2"/>
  <c r="N76" i="2"/>
  <c r="N75" i="2"/>
  <c r="N70" i="2"/>
  <c r="D53" i="2"/>
  <c r="D54" i="2"/>
  <c r="D55" i="2"/>
  <c r="D56" i="2"/>
  <c r="D57" i="2"/>
  <c r="D58" i="2"/>
  <c r="D59" i="2"/>
  <c r="D63" i="2"/>
  <c r="D64" i="2"/>
  <c r="D65" i="2"/>
  <c r="D52" i="2"/>
  <c r="H72" i="2"/>
  <c r="H73" i="2" s="1"/>
  <c r="H71" i="2"/>
  <c r="H69" i="2"/>
  <c r="C63" i="2"/>
  <c r="R57" i="2"/>
  <c r="R56" i="2"/>
  <c r="S16" i="2"/>
  <c r="S15" i="2"/>
  <c r="S14" i="2"/>
  <c r="R15" i="2"/>
  <c r="N24" i="2"/>
  <c r="N36" i="2"/>
  <c r="N31" i="2"/>
  <c r="N37" i="2"/>
  <c r="N29" i="2"/>
  <c r="N21" i="2"/>
  <c r="N17" i="2"/>
  <c r="N15" i="2"/>
  <c r="I17" i="2"/>
  <c r="I15" i="2"/>
  <c r="I13" i="2"/>
  <c r="D18" i="2"/>
  <c r="D19" i="2"/>
  <c r="D20" i="2"/>
  <c r="D16" i="2"/>
  <c r="D17" i="2"/>
  <c r="D14" i="2"/>
  <c r="B3" i="2"/>
  <c r="M37" i="2"/>
  <c r="M36" i="2"/>
  <c r="M31" i="2"/>
  <c r="M29" i="2"/>
  <c r="H25" i="2"/>
  <c r="C24" i="2"/>
  <c r="H20" i="2"/>
  <c r="C20" i="2"/>
  <c r="C19" i="2"/>
  <c r="R18" i="2"/>
  <c r="C18" i="2"/>
  <c r="R17" i="2"/>
  <c r="H17" i="2"/>
  <c r="C17" i="2"/>
  <c r="R16" i="2"/>
  <c r="H15" i="2"/>
  <c r="R13" i="2"/>
  <c r="R14" i="2" s="1"/>
  <c r="H13" i="2"/>
  <c r="O5" i="1"/>
  <c r="O6" i="1" s="1"/>
  <c r="O7" i="1"/>
  <c r="O8" i="1"/>
  <c r="G17" i="1"/>
  <c r="G7" i="1"/>
  <c r="G5" i="1"/>
  <c r="C11" i="1"/>
  <c r="O9" i="1"/>
  <c r="O10" i="1"/>
  <c r="K29" i="1"/>
  <c r="K28" i="1"/>
  <c r="K23" i="1"/>
  <c r="G12" i="1"/>
  <c r="G9" i="1"/>
  <c r="K21" i="1"/>
  <c r="C16" i="1"/>
  <c r="R37" i="1"/>
  <c r="R36" i="1"/>
  <c r="R35" i="1"/>
  <c r="C12" i="1"/>
  <c r="C10" i="1"/>
  <c r="C9" i="1"/>
  <c r="I59" i="2" l="1"/>
  <c r="I64" i="2"/>
  <c r="I56" i="2"/>
  <c r="I52" i="2"/>
  <c r="D15" i="2"/>
</calcChain>
</file>

<file path=xl/sharedStrings.xml><?xml version="1.0" encoding="utf-8"?>
<sst xmlns="http://schemas.openxmlformats.org/spreadsheetml/2006/main" count="626" uniqueCount="145">
  <si>
    <t>m</t>
    <phoneticPr fontId="1" type="noConversion"/>
  </si>
  <si>
    <t>g</t>
    <phoneticPr fontId="1" type="noConversion"/>
  </si>
  <si>
    <t>模型参数表</t>
    <phoneticPr fontId="1" type="noConversion"/>
  </si>
  <si>
    <t>刚体参数</t>
    <phoneticPr fontId="1" type="noConversion"/>
  </si>
  <si>
    <t>x_G</t>
    <phoneticPr fontId="1" type="noConversion"/>
  </si>
  <si>
    <t>y_G</t>
    <phoneticPr fontId="1" type="noConversion"/>
  </si>
  <si>
    <t>z_G</t>
    <phoneticPr fontId="1" type="noConversion"/>
  </si>
  <si>
    <t>I_zz</t>
    <phoneticPr fontId="1" type="noConversion"/>
  </si>
  <si>
    <t>I_xx</t>
    <phoneticPr fontId="1" type="noConversion"/>
  </si>
  <si>
    <t>I_yy</t>
    <phoneticPr fontId="1" type="noConversion"/>
  </si>
  <si>
    <t>I_xy</t>
    <phoneticPr fontId="1" type="noConversion"/>
  </si>
  <si>
    <t>I_yz</t>
    <phoneticPr fontId="1" type="noConversion"/>
  </si>
  <si>
    <t>I_zx</t>
    <phoneticPr fontId="1" type="noConversion"/>
  </si>
  <si>
    <t>水动力系数</t>
    <phoneticPr fontId="1" type="noConversion"/>
  </si>
  <si>
    <t>条目</t>
  </si>
  <si>
    <t>条目</t>
    <phoneticPr fontId="1" type="noConversion"/>
  </si>
  <si>
    <t>数值</t>
  </si>
  <si>
    <t>数值</t>
    <phoneticPr fontId="1" type="noConversion"/>
  </si>
  <si>
    <t>X_u_dot</t>
    <phoneticPr fontId="1" type="noConversion"/>
  </si>
  <si>
    <t>Y_v_dot</t>
    <phoneticPr fontId="1" type="noConversion"/>
  </si>
  <si>
    <t>Z_w_dot</t>
    <phoneticPr fontId="1" type="noConversion"/>
  </si>
  <si>
    <t>N_r_dot</t>
  </si>
  <si>
    <t>惯性类水动力系数（左右对称形状物体水动力系数）</t>
    <phoneticPr fontId="1" type="noConversion"/>
  </si>
  <si>
    <t>K_p_dot</t>
    <phoneticPr fontId="1" type="noConversion"/>
  </si>
  <si>
    <t>M_q_dot</t>
    <phoneticPr fontId="1" type="noConversion"/>
  </si>
  <si>
    <t>说明</t>
  </si>
  <si>
    <t>说明</t>
    <phoneticPr fontId="1" type="noConversion"/>
  </si>
  <si>
    <t>质量系数</t>
    <phoneticPr fontId="1" type="noConversion"/>
  </si>
  <si>
    <t>质心位置</t>
    <phoneticPr fontId="1" type="noConversion"/>
  </si>
  <si>
    <t>形状特征转动惯量张量</t>
  </si>
  <si>
    <t>Y_r_dot</t>
    <phoneticPr fontId="1" type="noConversion"/>
  </si>
  <si>
    <t>Z_q_dot</t>
    <phoneticPr fontId="1" type="noConversion"/>
  </si>
  <si>
    <t>左右且前后对称（OXZ与OXY为对称面）：仅8个独立元素</t>
    <phoneticPr fontId="1" type="noConversion"/>
  </si>
  <si>
    <t>X_w_dot</t>
    <phoneticPr fontId="1" type="noConversion"/>
  </si>
  <si>
    <t>X_q_dot</t>
    <phoneticPr fontId="1" type="noConversion"/>
  </si>
  <si>
    <t>Y_p_dot</t>
    <phoneticPr fontId="1" type="noConversion"/>
  </si>
  <si>
    <t>K_r_dot</t>
    <phoneticPr fontId="1" type="noConversion"/>
  </si>
  <si>
    <t>左右对称（OXZ为对称面）：含12个独立元素</t>
    <phoneticPr fontId="1" type="noConversion"/>
  </si>
  <si>
    <t>粘性类水动力系数（阻尼力）</t>
    <phoneticPr fontId="1" type="noConversion"/>
  </si>
  <si>
    <t>X_u</t>
    <phoneticPr fontId="1" type="noConversion"/>
  </si>
  <si>
    <t>Y_v</t>
    <phoneticPr fontId="1" type="noConversion"/>
  </si>
  <si>
    <t>Z_w</t>
    <phoneticPr fontId="1" type="noConversion"/>
  </si>
  <si>
    <t>K_p</t>
    <phoneticPr fontId="1" type="noConversion"/>
  </si>
  <si>
    <t>M_q</t>
    <phoneticPr fontId="1" type="noConversion"/>
  </si>
  <si>
    <t>N_r</t>
    <phoneticPr fontId="1" type="noConversion"/>
  </si>
  <si>
    <t>Y_p</t>
    <phoneticPr fontId="1" type="noConversion"/>
  </si>
  <si>
    <t>Y_r</t>
    <phoneticPr fontId="1" type="noConversion"/>
  </si>
  <si>
    <t>Z_q</t>
    <phoneticPr fontId="1" type="noConversion"/>
  </si>
  <si>
    <t>K_v</t>
    <phoneticPr fontId="1" type="noConversion"/>
  </si>
  <si>
    <t>K_r</t>
    <phoneticPr fontId="1" type="noConversion"/>
  </si>
  <si>
    <t>M_w</t>
    <phoneticPr fontId="1" type="noConversion"/>
  </si>
  <si>
    <t>N_v</t>
    <phoneticPr fontId="1" type="noConversion"/>
  </si>
  <si>
    <t>N_p</t>
    <phoneticPr fontId="1" type="noConversion"/>
  </si>
  <si>
    <t>三个对称面潜水器一阶阻尼系数（共6个）</t>
    <phoneticPr fontId="1" type="noConversion"/>
  </si>
  <si>
    <t>X_uu</t>
    <phoneticPr fontId="1" type="noConversion"/>
  </si>
  <si>
    <t>Y_vv</t>
  </si>
  <si>
    <t>Z_ww</t>
    <phoneticPr fontId="1" type="noConversion"/>
  </si>
  <si>
    <t>K_pp</t>
    <phoneticPr fontId="1" type="noConversion"/>
  </si>
  <si>
    <t>M_qq</t>
    <phoneticPr fontId="1" type="noConversion"/>
  </si>
  <si>
    <t>N_rr</t>
    <phoneticPr fontId="1" type="noConversion"/>
  </si>
  <si>
    <t>三个对称面潜水器二阶阻尼系数（共6个）</t>
    <phoneticPr fontId="1" type="noConversion"/>
  </si>
  <si>
    <t>Y_rv</t>
    <phoneticPr fontId="1" type="noConversion"/>
  </si>
  <si>
    <t>Y_vr</t>
    <phoneticPr fontId="1" type="noConversion"/>
  </si>
  <si>
    <t>Y_rr</t>
    <phoneticPr fontId="1" type="noConversion"/>
  </si>
  <si>
    <t>Z_qq</t>
    <phoneticPr fontId="1" type="noConversion"/>
  </si>
  <si>
    <t>M_ww</t>
    <phoneticPr fontId="1" type="noConversion"/>
  </si>
  <si>
    <t>N_vv</t>
    <phoneticPr fontId="1" type="noConversion"/>
  </si>
  <si>
    <t>N_rv</t>
    <phoneticPr fontId="1" type="noConversion"/>
  </si>
  <si>
    <t>N_vr</t>
    <phoneticPr fontId="1" type="noConversion"/>
  </si>
  <si>
    <t>上下左右对称面潜水器一阶阻尼系数（共8个）</t>
    <phoneticPr fontId="1" type="noConversion"/>
  </si>
  <si>
    <t>上下左右对称面潜水器二阶阻尼系数（共8个）</t>
    <phoneticPr fontId="1" type="noConversion"/>
  </si>
  <si>
    <t>舵的水动力系数</t>
    <phoneticPr fontId="1" type="noConversion"/>
  </si>
  <si>
    <t>执行机构参数</t>
    <phoneticPr fontId="1" type="noConversion"/>
  </si>
  <si>
    <t>Z_uudbcp</t>
    <phoneticPr fontId="1" type="noConversion"/>
  </si>
  <si>
    <t>Z_uudscp</t>
    <phoneticPr fontId="1" type="noConversion"/>
  </si>
  <si>
    <t>M_uudbcp</t>
    <phoneticPr fontId="1" type="noConversion"/>
  </si>
  <si>
    <t>M_uudscp</t>
    <phoneticPr fontId="1" type="noConversion"/>
  </si>
  <si>
    <t>模型几何特点</t>
    <phoneticPr fontId="1" type="noConversion"/>
  </si>
  <si>
    <t>纵向和水平对称面</t>
    <phoneticPr fontId="1" type="noConversion"/>
  </si>
  <si>
    <t>执行机构设计特点</t>
    <phoneticPr fontId="1" type="noConversion"/>
  </si>
  <si>
    <t>十字舵</t>
    <phoneticPr fontId="1" type="noConversion"/>
  </si>
  <si>
    <t>水平面舵首尾都有</t>
    <phoneticPr fontId="1" type="noConversion"/>
  </si>
  <si>
    <t>欠驱动</t>
    <phoneticPr fontId="1" type="noConversion"/>
  </si>
  <si>
    <t>VBS系统</t>
    <phoneticPr fontId="1" type="noConversion"/>
  </si>
  <si>
    <t>Y_uudr</t>
    <phoneticPr fontId="1" type="noConversion"/>
  </si>
  <si>
    <t>纵向控制面；首尾双舵</t>
    <phoneticPr fontId="1" type="noConversion"/>
  </si>
  <si>
    <t>N_uudr</t>
    <phoneticPr fontId="1" type="noConversion"/>
  </si>
  <si>
    <t>水平控制面；尾舵</t>
    <phoneticPr fontId="1" type="noConversion"/>
  </si>
  <si>
    <t>VBS</t>
    <phoneticPr fontId="1" type="noConversion"/>
  </si>
  <si>
    <t>x_bg</t>
    <phoneticPr fontId="1" type="noConversion"/>
  </si>
  <si>
    <t>x_sg</t>
    <phoneticPr fontId="1" type="noConversion"/>
  </si>
  <si>
    <t>z_bg</t>
    <phoneticPr fontId="1" type="noConversion"/>
  </si>
  <si>
    <t>z_sg</t>
    <phoneticPr fontId="1" type="noConversion"/>
  </si>
  <si>
    <t>首部可调压载水作用位置</t>
    <phoneticPr fontId="1" type="noConversion"/>
  </si>
  <si>
    <t>尾部压载水作用位置</t>
    <phoneticPr fontId="1" type="noConversion"/>
  </si>
  <si>
    <t>Taipan</t>
    <phoneticPr fontId="1" type="noConversion"/>
  </si>
  <si>
    <t>length</t>
    <phoneticPr fontId="1" type="noConversion"/>
  </si>
  <si>
    <t>diameter</t>
    <phoneticPr fontId="1" type="noConversion"/>
  </si>
  <si>
    <t>weight</t>
    <phoneticPr fontId="1" type="noConversion"/>
  </si>
  <si>
    <t>numical</t>
    <phoneticPr fontId="1" type="noConversion"/>
  </si>
  <si>
    <t>unit</t>
    <phoneticPr fontId="1" type="noConversion"/>
  </si>
  <si>
    <t>kg</t>
    <phoneticPr fontId="1" type="noConversion"/>
  </si>
  <si>
    <t>单位</t>
    <phoneticPr fontId="1" type="noConversion"/>
  </si>
  <si>
    <t>REMUS（主）</t>
    <phoneticPr fontId="1" type="noConversion"/>
  </si>
  <si>
    <t>kg·m2</t>
    <phoneticPr fontId="1" type="noConversion"/>
  </si>
  <si>
    <t>kg/(m·s)</t>
    <phoneticPr fontId="1" type="noConversion"/>
  </si>
  <si>
    <t>M_w_dot</t>
    <phoneticPr fontId="1" type="noConversion"/>
  </si>
  <si>
    <t>x_cb</t>
    <phoneticPr fontId="1" type="noConversion"/>
  </si>
  <si>
    <t>y_cb</t>
    <phoneticPr fontId="1" type="noConversion"/>
  </si>
  <si>
    <t>z_cb</t>
    <phoneticPr fontId="1" type="noConversion"/>
  </si>
  <si>
    <t>kg/m</t>
    <phoneticPr fontId="1" type="noConversion"/>
  </si>
  <si>
    <t>kg·m2/rad</t>
    <phoneticPr fontId="1" type="noConversion"/>
  </si>
  <si>
    <t>kg·m/rad</t>
    <phoneticPr fontId="1" type="noConversion"/>
  </si>
  <si>
    <t>kg·m</t>
    <phoneticPr fontId="1" type="noConversion"/>
  </si>
  <si>
    <t>kg/s</t>
    <phoneticPr fontId="1" type="noConversion"/>
  </si>
  <si>
    <t>NULL</t>
    <phoneticPr fontId="1" type="noConversion"/>
  </si>
  <si>
    <t>kg·m/s</t>
    <phoneticPr fontId="1" type="noConversion"/>
  </si>
  <si>
    <t>kg·rad/s</t>
    <phoneticPr fontId="1" type="noConversion"/>
  </si>
  <si>
    <t>kg·m2/rad2</t>
    <phoneticPr fontId="1" type="noConversion"/>
  </si>
  <si>
    <t>kg·m/rad2</t>
    <phoneticPr fontId="1" type="noConversion"/>
  </si>
  <si>
    <t>kg/(m·rad)</t>
  </si>
  <si>
    <t>kg/(m·rad)</t>
    <phoneticPr fontId="1" type="noConversion"/>
  </si>
  <si>
    <t>kg/rad</t>
    <phoneticPr fontId="1" type="noConversion"/>
  </si>
  <si>
    <t>注：</t>
    <phoneticPr fontId="1" type="noConversion"/>
  </si>
  <si>
    <t>REMUS-100为主体；Taipan为参考；from middle</t>
    <phoneticPr fontId="1" type="noConversion"/>
  </si>
  <si>
    <t>坐标系建立</t>
    <phoneticPr fontId="1" type="noConversion"/>
  </si>
  <si>
    <t>（往下打舵向上的力）</t>
    <phoneticPr fontId="1" type="noConversion"/>
  </si>
  <si>
    <t>下舵为正</t>
    <phoneticPr fontId="1" type="noConversion"/>
  </si>
  <si>
    <t>REMUS为参考从1.386m向4m放缩</t>
    <phoneticPr fontId="1" type="noConversion"/>
  </si>
  <si>
    <t>放缩前数值</t>
    <phoneticPr fontId="1" type="noConversion"/>
  </si>
  <si>
    <t>放缩后数值</t>
    <phoneticPr fontId="1" type="noConversion"/>
  </si>
  <si>
    <t>λ^3</t>
    <phoneticPr fontId="1" type="noConversion"/>
  </si>
  <si>
    <t>目标模型</t>
    <phoneticPr fontId="1" type="noConversion"/>
  </si>
  <si>
    <t>REMUS</t>
    <phoneticPr fontId="1" type="noConversion"/>
  </si>
  <si>
    <t>波浪载荷系数：</t>
    <phoneticPr fontId="1" type="noConversion"/>
  </si>
  <si>
    <t>第一参数初一第二参数是幅值</t>
    <phoneticPr fontId="1" type="noConversion"/>
  </si>
  <si>
    <t>并且第二参数是采样时间，控制曲线平滑程度的，建议0.1-0.01之间；且第一参数是第二参数的5倍</t>
    <phoneticPr fontId="1" type="noConversion"/>
  </si>
  <si>
    <t>Z_w_dot比</t>
    <phoneticPr fontId="1" type="noConversion"/>
  </si>
  <si>
    <t>Z_ww比</t>
    <phoneticPr fontId="1" type="noConversion"/>
  </si>
  <si>
    <t>Z_uudbcp比</t>
    <phoneticPr fontId="1" type="noConversion"/>
  </si>
  <si>
    <t>缩尺比λ1</t>
    <phoneticPr fontId="1" type="noConversion"/>
  </si>
  <si>
    <t>缩放比λ2</t>
    <phoneticPr fontId="1" type="noConversion"/>
  </si>
  <si>
    <t>放缩假设：认为不同尺度的无因次水动力系数都是恒定不变的常值，仅仅根据量纲进行常值的放缩；并且认为潜水器的密度也不变；舵的位置和大小面积也都同比缩放。</t>
    <phoneticPr fontId="1" type="noConversion"/>
  </si>
  <si>
    <t>最终目标模型参数</t>
    <phoneticPr fontId="1" type="noConversion"/>
  </si>
  <si>
    <t>14.372N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</si>
</sst>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38</xdr:row>
      <xdr:rowOff>53340</xdr:rowOff>
    </xdr:from>
    <xdr:to>
      <xdr:col>2</xdr:col>
      <xdr:colOff>589641</xdr:colOff>
      <xdr:row>46</xdr:row>
      <xdr:rowOff>7620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54EFE34-C568-246E-F5A7-9F112A2E0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1" y="6713220"/>
          <a:ext cx="2753720" cy="1356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358141</xdr:colOff>
      <xdr:row>33</xdr:row>
      <xdr:rowOff>14054</xdr:rowOff>
    </xdr:from>
    <xdr:to>
      <xdr:col>7</xdr:col>
      <xdr:colOff>601980</xdr:colOff>
      <xdr:row>42</xdr:row>
      <xdr:rowOff>7619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EA7B1AB-64BB-FAA5-8CA8-8A274CDFE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87141" y="5797634"/>
          <a:ext cx="2072639" cy="1570905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571502</xdr:colOff>
      <xdr:row>33</xdr:row>
      <xdr:rowOff>22860</xdr:rowOff>
    </xdr:from>
    <xdr:to>
      <xdr:col>15</xdr:col>
      <xdr:colOff>600452</xdr:colOff>
      <xdr:row>42</xdr:row>
      <xdr:rowOff>84900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EB0BE16-A2E1-82EE-5C21-8D2E9D30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942" y="5806440"/>
          <a:ext cx="2467350" cy="1639380"/>
        </a:xfrm>
        <a:prstGeom prst="rect">
          <a:avLst/>
        </a:prstGeom>
      </xdr:spPr>
    </xdr:pic>
    <xdr:clientData/>
  </xdr:twoCellAnchor>
  <xdr:twoCellAnchor editAs="oneCell">
    <xdr:from>
      <xdr:col>11</xdr:col>
      <xdr:colOff>388619</xdr:colOff>
      <xdr:row>42</xdr:row>
      <xdr:rowOff>113017</xdr:rowOff>
    </xdr:from>
    <xdr:to>
      <xdr:col>15</xdr:col>
      <xdr:colOff>563880</xdr:colOff>
      <xdr:row>46</xdr:row>
      <xdr:rowOff>72188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1A24FBF-BADE-FE24-EE0A-7000F0F33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4819" y="7473937"/>
          <a:ext cx="2613661" cy="660211"/>
        </a:xfrm>
        <a:prstGeom prst="rect">
          <a:avLst/>
        </a:prstGeom>
      </xdr:spPr>
    </xdr:pic>
    <xdr:clientData/>
  </xdr:twoCellAnchor>
  <xdr:twoCellAnchor editAs="oneCell">
    <xdr:from>
      <xdr:col>10</xdr:col>
      <xdr:colOff>41563</xdr:colOff>
      <xdr:row>46</xdr:row>
      <xdr:rowOff>124692</xdr:rowOff>
    </xdr:from>
    <xdr:to>
      <xdr:col>17</xdr:col>
      <xdr:colOff>153002</xdr:colOff>
      <xdr:row>92</xdr:row>
      <xdr:rowOff>50884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B3AC68C-E544-A308-7ED5-2ED7AFE845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9709" t="-680" r="21899" b="1"/>
        <a:stretch/>
      </xdr:blipFill>
      <xdr:spPr>
        <a:xfrm>
          <a:off x="7135090" y="8409710"/>
          <a:ext cx="4391891" cy="8211210"/>
        </a:xfrm>
        <a:prstGeom prst="rect">
          <a:avLst/>
        </a:prstGeom>
      </xdr:spPr>
    </xdr:pic>
    <xdr:clientData/>
  </xdr:twoCellAnchor>
  <xdr:twoCellAnchor editAs="oneCell">
    <xdr:from>
      <xdr:col>20</xdr:col>
      <xdr:colOff>21772</xdr:colOff>
      <xdr:row>34</xdr:row>
      <xdr:rowOff>32656</xdr:rowOff>
    </xdr:from>
    <xdr:to>
      <xdr:col>25</xdr:col>
      <xdr:colOff>295556</xdr:colOff>
      <xdr:row>45</xdr:row>
      <xdr:rowOff>157238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4542790F-CC80-00E4-0B95-78E437E1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26143" y="5954485"/>
          <a:ext cx="3321784" cy="20404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586740</xdr:colOff>
      <xdr:row>33</xdr:row>
      <xdr:rowOff>83820</xdr:rowOff>
    </xdr:from>
    <xdr:to>
      <xdr:col>9</xdr:col>
      <xdr:colOff>567919</xdr:colOff>
      <xdr:row>40</xdr:row>
      <xdr:rowOff>9608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822A95A-F9E8-2A07-485B-863AF3150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140" y="5867400"/>
          <a:ext cx="3029179" cy="1152608"/>
        </a:xfrm>
        <a:prstGeom prst="rect">
          <a:avLst/>
        </a:prstGeom>
      </xdr:spPr>
    </xdr:pic>
    <xdr:clientData/>
  </xdr:twoCellAnchor>
  <xdr:twoCellAnchor editAs="oneCell">
    <xdr:from>
      <xdr:col>15</xdr:col>
      <xdr:colOff>8614</xdr:colOff>
      <xdr:row>19</xdr:row>
      <xdr:rowOff>56703</xdr:rowOff>
    </xdr:from>
    <xdr:to>
      <xdr:col>19</xdr:col>
      <xdr:colOff>563880</xdr:colOff>
      <xdr:row>32</xdr:row>
      <xdr:rowOff>90101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DDB3B20-7107-3441-31D6-BA1F1EFB2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2614" y="3386643"/>
          <a:ext cx="2993666" cy="2311778"/>
        </a:xfrm>
        <a:prstGeom prst="rect">
          <a:avLst/>
        </a:prstGeom>
      </xdr:spPr>
    </xdr:pic>
    <xdr:clientData/>
  </xdr:twoCellAnchor>
  <xdr:twoCellAnchor editAs="oneCell">
    <xdr:from>
      <xdr:col>15</xdr:col>
      <xdr:colOff>115198</xdr:colOff>
      <xdr:row>58</xdr:row>
      <xdr:rowOff>88845</xdr:rowOff>
    </xdr:from>
    <xdr:to>
      <xdr:col>22</xdr:col>
      <xdr:colOff>366657</xdr:colOff>
      <xdr:row>65</xdr:row>
      <xdr:rowOff>10540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A11A709-6F03-9D30-C6F9-F33B074CA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198" y="10487904"/>
          <a:ext cx="4518659" cy="1176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zoomScaleNormal="100" workbookViewId="0">
      <selection activeCell="Q15" sqref="Q15"/>
    </sheetView>
  </sheetViews>
  <sheetFormatPr defaultRowHeight="13.8" x14ac:dyDescent="0.25"/>
  <cols>
    <col min="1" max="1" width="18.33203125" bestFit="1" customWidth="1"/>
    <col min="2" max="2" width="13.88671875" customWidth="1"/>
    <col min="11" max="11" width="9.109375" bestFit="1" customWidth="1"/>
  </cols>
  <sheetData>
    <row r="1" spans="1:20" x14ac:dyDescent="0.25">
      <c r="A1" t="s">
        <v>2</v>
      </c>
      <c r="B1" t="s">
        <v>124</v>
      </c>
    </row>
    <row r="2" spans="1:20" x14ac:dyDescent="0.25">
      <c r="A2" s="7" t="s">
        <v>3</v>
      </c>
      <c r="B2" s="7"/>
      <c r="C2" s="7"/>
      <c r="D2" s="7"/>
      <c r="E2" s="8" t="s">
        <v>13</v>
      </c>
      <c r="F2" s="8"/>
      <c r="G2" s="8"/>
      <c r="H2" s="8"/>
      <c r="I2" s="8"/>
      <c r="J2" s="8"/>
      <c r="K2" s="8"/>
      <c r="L2" s="8"/>
      <c r="M2" t="s">
        <v>72</v>
      </c>
    </row>
    <row r="3" spans="1:20" x14ac:dyDescent="0.25">
      <c r="A3" s="7"/>
      <c r="B3" s="7"/>
      <c r="C3" s="7"/>
      <c r="D3" s="7"/>
      <c r="E3" s="8" t="s">
        <v>22</v>
      </c>
      <c r="F3" s="8"/>
      <c r="G3" s="8"/>
      <c r="H3" s="8"/>
      <c r="I3" s="8" t="s">
        <v>38</v>
      </c>
      <c r="J3" s="8"/>
      <c r="K3" s="8"/>
      <c r="L3" s="8"/>
      <c r="M3" s="8" t="s">
        <v>71</v>
      </c>
      <c r="N3" s="8"/>
      <c r="O3" s="8"/>
      <c r="P3" s="8"/>
      <c r="Q3" s="8" t="s">
        <v>88</v>
      </c>
      <c r="R3" s="8"/>
      <c r="S3" s="8"/>
      <c r="T3" s="8"/>
    </row>
    <row r="4" spans="1:20" x14ac:dyDescent="0.25">
      <c r="A4" t="s">
        <v>15</v>
      </c>
      <c r="B4" t="s">
        <v>26</v>
      </c>
      <c r="C4" t="s">
        <v>17</v>
      </c>
      <c r="D4" t="s">
        <v>102</v>
      </c>
      <c r="E4" t="s">
        <v>15</v>
      </c>
      <c r="F4" t="s">
        <v>26</v>
      </c>
      <c r="G4" t="s">
        <v>17</v>
      </c>
      <c r="H4" t="s">
        <v>102</v>
      </c>
      <c r="I4" s="2" t="s">
        <v>14</v>
      </c>
      <c r="J4" s="2" t="s">
        <v>25</v>
      </c>
      <c r="K4" s="2" t="s">
        <v>16</v>
      </c>
      <c r="L4" t="s">
        <v>102</v>
      </c>
      <c r="M4" t="s">
        <v>15</v>
      </c>
      <c r="N4" t="s">
        <v>26</v>
      </c>
      <c r="O4" t="s">
        <v>17</v>
      </c>
      <c r="P4" t="s">
        <v>102</v>
      </c>
      <c r="Q4" t="s">
        <v>15</v>
      </c>
      <c r="R4" t="s">
        <v>26</v>
      </c>
      <c r="S4" t="s">
        <v>17</v>
      </c>
      <c r="T4" t="s">
        <v>102</v>
      </c>
    </row>
    <row r="5" spans="1:20" x14ac:dyDescent="0.25">
      <c r="A5" s="3" t="s">
        <v>0</v>
      </c>
      <c r="B5" s="7" t="s">
        <v>27</v>
      </c>
      <c r="C5">
        <v>30.5</v>
      </c>
      <c r="D5" s="1" t="s">
        <v>101</v>
      </c>
      <c r="E5" s="3" t="s">
        <v>18</v>
      </c>
      <c r="F5" s="7" t="s">
        <v>32</v>
      </c>
      <c r="G5">
        <f>-9.3*10^-1</f>
        <v>-0.93000000000000016</v>
      </c>
      <c r="H5" s="1" t="s">
        <v>101</v>
      </c>
      <c r="I5" t="s">
        <v>39</v>
      </c>
      <c r="J5" s="7" t="s">
        <v>53</v>
      </c>
      <c r="L5" s="1"/>
      <c r="M5" s="3" t="s">
        <v>73</v>
      </c>
      <c r="N5" s="7" t="s">
        <v>85</v>
      </c>
      <c r="O5">
        <f>-9.64*10^0</f>
        <v>-9.64</v>
      </c>
      <c r="P5" s="1" t="s">
        <v>120</v>
      </c>
      <c r="Q5" s="3" t="s">
        <v>89</v>
      </c>
      <c r="R5" s="7" t="s">
        <v>93</v>
      </c>
      <c r="S5">
        <v>0</v>
      </c>
      <c r="T5" s="1" t="s">
        <v>0</v>
      </c>
    </row>
    <row r="6" spans="1:20" x14ac:dyDescent="0.25">
      <c r="A6" s="3" t="s">
        <v>1</v>
      </c>
      <c r="B6" s="7"/>
      <c r="C6">
        <v>9.8010000000000002</v>
      </c>
      <c r="D6" s="1" t="s">
        <v>105</v>
      </c>
      <c r="E6" t="s">
        <v>19</v>
      </c>
      <c r="F6" s="7"/>
      <c r="H6" s="1"/>
      <c r="I6" t="s">
        <v>40</v>
      </c>
      <c r="J6" s="7"/>
      <c r="L6" s="1"/>
      <c r="M6" s="3" t="s">
        <v>74</v>
      </c>
      <c r="N6" s="7"/>
      <c r="O6">
        <f>O5</f>
        <v>-9.64</v>
      </c>
      <c r="P6" s="1" t="s">
        <v>121</v>
      </c>
      <c r="Q6" s="3" t="s">
        <v>91</v>
      </c>
      <c r="R6" s="7"/>
      <c r="S6">
        <v>1.5</v>
      </c>
      <c r="T6" s="1" t="s">
        <v>0</v>
      </c>
    </row>
    <row r="7" spans="1:20" x14ac:dyDescent="0.25">
      <c r="A7" s="3" t="s">
        <v>4</v>
      </c>
      <c r="B7" s="7" t="s">
        <v>28</v>
      </c>
      <c r="C7">
        <v>0</v>
      </c>
      <c r="D7" s="1" t="s">
        <v>0</v>
      </c>
      <c r="E7" s="3" t="s">
        <v>20</v>
      </c>
      <c r="F7" s="7"/>
      <c r="G7">
        <f>-3.55*10^1</f>
        <v>-35.5</v>
      </c>
      <c r="H7" s="1" t="s">
        <v>101</v>
      </c>
      <c r="I7" s="3" t="s">
        <v>41</v>
      </c>
      <c r="J7" s="7"/>
      <c r="K7" t="s">
        <v>115</v>
      </c>
      <c r="L7" s="1" t="s">
        <v>114</v>
      </c>
      <c r="M7" s="3" t="s">
        <v>75</v>
      </c>
      <c r="N7" s="7"/>
      <c r="O7">
        <f>6.15</f>
        <v>6.15</v>
      </c>
      <c r="P7" s="1" t="s">
        <v>122</v>
      </c>
      <c r="Q7" s="3" t="s">
        <v>92</v>
      </c>
      <c r="R7" s="7" t="s">
        <v>94</v>
      </c>
      <c r="S7">
        <v>0</v>
      </c>
      <c r="T7" s="1" t="s">
        <v>0</v>
      </c>
    </row>
    <row r="8" spans="1:20" x14ac:dyDescent="0.25">
      <c r="A8" s="3" t="s">
        <v>5</v>
      </c>
      <c r="B8" s="7"/>
      <c r="C8">
        <v>0</v>
      </c>
      <c r="D8" s="1" t="s">
        <v>0</v>
      </c>
      <c r="E8" t="s">
        <v>23</v>
      </c>
      <c r="F8" s="7"/>
      <c r="H8" s="1"/>
      <c r="I8" t="s">
        <v>42</v>
      </c>
      <c r="J8" s="7"/>
      <c r="L8" s="1"/>
      <c r="M8" s="3" t="s">
        <v>76</v>
      </c>
      <c r="N8" s="7"/>
      <c r="O8">
        <f>-6.15</f>
        <v>-6.15</v>
      </c>
      <c r="P8" s="1" t="s">
        <v>122</v>
      </c>
      <c r="Q8" s="3" t="s">
        <v>90</v>
      </c>
      <c r="R8" s="7"/>
      <c r="S8">
        <v>-1.5</v>
      </c>
      <c r="T8" s="1" t="s">
        <v>0</v>
      </c>
    </row>
    <row r="9" spans="1:20" x14ac:dyDescent="0.25">
      <c r="A9" s="3" t="s">
        <v>6</v>
      </c>
      <c r="B9" s="7"/>
      <c r="C9">
        <f>1.96*10^-2</f>
        <v>1.9599999999999999E-2</v>
      </c>
      <c r="D9" s="1" t="s">
        <v>0</v>
      </c>
      <c r="E9" s="3" t="s">
        <v>24</v>
      </c>
      <c r="F9" s="7"/>
      <c r="G9">
        <f>-4.88*10^0</f>
        <v>-4.88</v>
      </c>
      <c r="H9" s="1" t="s">
        <v>111</v>
      </c>
      <c r="I9" s="3" t="s">
        <v>43</v>
      </c>
      <c r="J9" s="7"/>
      <c r="K9" t="s">
        <v>115</v>
      </c>
      <c r="L9" s="1" t="s">
        <v>116</v>
      </c>
      <c r="M9" s="4" t="s">
        <v>84</v>
      </c>
      <c r="N9" s="7" t="s">
        <v>87</v>
      </c>
      <c r="O9">
        <f>9.64*10^0</f>
        <v>9.64</v>
      </c>
      <c r="P9" s="1" t="s">
        <v>120</v>
      </c>
    </row>
    <row r="10" spans="1:20" x14ac:dyDescent="0.25">
      <c r="A10" t="s">
        <v>8</v>
      </c>
      <c r="B10" s="7" t="s">
        <v>29</v>
      </c>
      <c r="C10">
        <f>1.77*10^-1</f>
        <v>0.17700000000000002</v>
      </c>
      <c r="D10" s="1" t="s">
        <v>104</v>
      </c>
      <c r="E10" t="s">
        <v>21</v>
      </c>
      <c r="F10" s="7"/>
      <c r="H10" s="1"/>
      <c r="I10" t="s">
        <v>44</v>
      </c>
      <c r="J10" s="7"/>
      <c r="L10" s="1"/>
      <c r="M10" s="4" t="s">
        <v>86</v>
      </c>
      <c r="N10" s="7"/>
      <c r="O10">
        <f>-6.15*10^0</f>
        <v>-6.15</v>
      </c>
      <c r="P10" s="1" t="s">
        <v>122</v>
      </c>
    </row>
    <row r="11" spans="1:20" x14ac:dyDescent="0.25">
      <c r="A11" s="3" t="s">
        <v>9</v>
      </c>
      <c r="B11" s="7"/>
      <c r="C11">
        <f>3.45</f>
        <v>3.45</v>
      </c>
      <c r="D11" s="1" t="s">
        <v>104</v>
      </c>
      <c r="E11" t="s">
        <v>30</v>
      </c>
      <c r="F11" s="7"/>
      <c r="H11" s="1"/>
      <c r="I11" t="s">
        <v>45</v>
      </c>
      <c r="J11" s="7" t="s">
        <v>69</v>
      </c>
      <c r="L11" s="1"/>
    </row>
    <row r="12" spans="1:20" x14ac:dyDescent="0.25">
      <c r="A12" t="s">
        <v>7</v>
      </c>
      <c r="B12" s="7"/>
      <c r="C12">
        <f>3.45</f>
        <v>3.45</v>
      </c>
      <c r="D12" s="1" t="s">
        <v>104</v>
      </c>
      <c r="E12" s="3" t="s">
        <v>31</v>
      </c>
      <c r="F12" s="7"/>
      <c r="G12">
        <f>-1.93*10^0</f>
        <v>-1.93</v>
      </c>
      <c r="H12" s="1" t="s">
        <v>112</v>
      </c>
      <c r="I12" t="s">
        <v>46</v>
      </c>
      <c r="J12" s="7"/>
      <c r="L12" s="1"/>
    </row>
    <row r="13" spans="1:20" x14ac:dyDescent="0.25">
      <c r="A13" t="s">
        <v>10</v>
      </c>
      <c r="B13" s="7"/>
      <c r="D13" s="1"/>
      <c r="E13" t="s">
        <v>33</v>
      </c>
      <c r="F13" s="7" t="s">
        <v>37</v>
      </c>
      <c r="H13" s="1"/>
      <c r="I13" s="3" t="s">
        <v>47</v>
      </c>
      <c r="J13" s="7"/>
      <c r="K13" t="s">
        <v>115</v>
      </c>
      <c r="L13" s="1" t="s">
        <v>117</v>
      </c>
      <c r="M13" s="3" t="s">
        <v>123</v>
      </c>
      <c r="N13" t="s">
        <v>127</v>
      </c>
      <c r="O13" t="s">
        <v>126</v>
      </c>
    </row>
    <row r="14" spans="1:20" x14ac:dyDescent="0.25">
      <c r="A14" t="s">
        <v>11</v>
      </c>
      <c r="B14" s="7"/>
      <c r="D14" s="1"/>
      <c r="E14" t="s">
        <v>34</v>
      </c>
      <c r="F14" s="7"/>
      <c r="H14" s="1"/>
      <c r="I14" t="s">
        <v>48</v>
      </c>
      <c r="J14" s="7"/>
      <c r="L14" s="1"/>
      <c r="N14" t="s">
        <v>134</v>
      </c>
      <c r="O14" t="s">
        <v>135</v>
      </c>
      <c r="P14" t="s">
        <v>136</v>
      </c>
    </row>
    <row r="15" spans="1:20" x14ac:dyDescent="0.25">
      <c r="A15" t="s">
        <v>12</v>
      </c>
      <c r="B15" s="7"/>
      <c r="D15" s="1"/>
      <c r="E15" t="s">
        <v>35</v>
      </c>
      <c r="F15" s="7"/>
      <c r="H15" s="1"/>
      <c r="I15" t="s">
        <v>49</v>
      </c>
      <c r="J15" s="7"/>
      <c r="L15" s="1"/>
    </row>
    <row r="16" spans="1:20" x14ac:dyDescent="0.25">
      <c r="A16" t="s">
        <v>107</v>
      </c>
      <c r="C16">
        <f>-6.11*10^-1</f>
        <v>-0.6110000000000001</v>
      </c>
      <c r="D16" s="1" t="s">
        <v>0</v>
      </c>
      <c r="E16" t="s">
        <v>36</v>
      </c>
      <c r="F16" s="7"/>
      <c r="H16" s="1"/>
      <c r="I16" s="3" t="s">
        <v>50</v>
      </c>
      <c r="J16" s="7"/>
      <c r="L16" s="1"/>
    </row>
    <row r="17" spans="1:12" x14ac:dyDescent="0.25">
      <c r="A17" t="s">
        <v>108</v>
      </c>
      <c r="C17">
        <v>0</v>
      </c>
      <c r="D17" s="1" t="s">
        <v>0</v>
      </c>
      <c r="E17" s="3" t="s">
        <v>106</v>
      </c>
      <c r="G17">
        <f>-1.93*10^0</f>
        <v>-1.93</v>
      </c>
      <c r="H17" s="1" t="s">
        <v>113</v>
      </c>
      <c r="I17" t="s">
        <v>51</v>
      </c>
      <c r="J17" s="7"/>
      <c r="L17" s="1"/>
    </row>
    <row r="18" spans="1:12" x14ac:dyDescent="0.25">
      <c r="A18" t="s">
        <v>109</v>
      </c>
      <c r="C18">
        <v>0</v>
      </c>
      <c r="D18" s="1" t="s">
        <v>0</v>
      </c>
      <c r="I18" t="s">
        <v>52</v>
      </c>
      <c r="J18" s="7"/>
      <c r="L18" s="1"/>
    </row>
    <row r="19" spans="1:12" x14ac:dyDescent="0.25">
      <c r="I19" t="s">
        <v>54</v>
      </c>
      <c r="J19" s="7" t="s">
        <v>60</v>
      </c>
      <c r="L19" s="1"/>
    </row>
    <row r="20" spans="1:12" x14ac:dyDescent="0.25">
      <c r="I20" t="s">
        <v>55</v>
      </c>
      <c r="J20" s="7"/>
      <c r="L20" s="1"/>
    </row>
    <row r="21" spans="1:12" x14ac:dyDescent="0.25">
      <c r="I21" s="3" t="s">
        <v>56</v>
      </c>
      <c r="J21" s="7"/>
      <c r="K21">
        <f>-1.31*10^2</f>
        <v>-131</v>
      </c>
      <c r="L21" s="1" t="s">
        <v>110</v>
      </c>
    </row>
    <row r="22" spans="1:12" x14ac:dyDescent="0.25">
      <c r="I22" t="s">
        <v>57</v>
      </c>
      <c r="J22" s="7"/>
      <c r="L22" s="1"/>
    </row>
    <row r="23" spans="1:12" x14ac:dyDescent="0.25">
      <c r="I23" s="3" t="s">
        <v>58</v>
      </c>
      <c r="J23" s="7"/>
      <c r="K23">
        <f>-9.4*10^0</f>
        <v>-9.4</v>
      </c>
      <c r="L23" s="1" t="s">
        <v>118</v>
      </c>
    </row>
    <row r="24" spans="1:12" x14ac:dyDescent="0.25">
      <c r="I24" t="s">
        <v>59</v>
      </c>
      <c r="J24" s="7"/>
      <c r="L24" s="1"/>
    </row>
    <row r="25" spans="1:12" x14ac:dyDescent="0.25">
      <c r="I25" t="s">
        <v>61</v>
      </c>
      <c r="J25" s="7" t="s">
        <v>70</v>
      </c>
      <c r="L25" s="1"/>
    </row>
    <row r="26" spans="1:12" x14ac:dyDescent="0.25">
      <c r="I26" t="s">
        <v>62</v>
      </c>
      <c r="J26" s="7"/>
      <c r="L26" s="1"/>
    </row>
    <row r="27" spans="1:12" x14ac:dyDescent="0.25">
      <c r="I27" t="s">
        <v>63</v>
      </c>
      <c r="J27" s="7"/>
      <c r="L27" s="1"/>
    </row>
    <row r="28" spans="1:12" x14ac:dyDescent="0.25">
      <c r="I28" s="3" t="s">
        <v>64</v>
      </c>
      <c r="J28" s="7"/>
      <c r="K28">
        <f>-6.32*10^-1</f>
        <v>-0.63200000000000012</v>
      </c>
      <c r="L28" s="1" t="s">
        <v>119</v>
      </c>
    </row>
    <row r="29" spans="1:12" x14ac:dyDescent="0.25">
      <c r="I29" s="3" t="s">
        <v>65</v>
      </c>
      <c r="J29" s="7"/>
      <c r="K29">
        <f>3.18*10^0</f>
        <v>3.18</v>
      </c>
      <c r="L29" s="1" t="s">
        <v>101</v>
      </c>
    </row>
    <row r="30" spans="1:12" x14ac:dyDescent="0.25">
      <c r="I30" t="s">
        <v>66</v>
      </c>
      <c r="J30" s="7"/>
      <c r="L30" s="1"/>
    </row>
    <row r="31" spans="1:12" x14ac:dyDescent="0.25">
      <c r="I31" t="s">
        <v>67</v>
      </c>
      <c r="J31" s="7"/>
      <c r="L31" s="1"/>
    </row>
    <row r="32" spans="1:12" x14ac:dyDescent="0.25">
      <c r="I32" t="s">
        <v>68</v>
      </c>
      <c r="J32" s="7"/>
      <c r="L32" s="1"/>
    </row>
    <row r="34" spans="1:21" x14ac:dyDescent="0.25">
      <c r="A34" t="s">
        <v>77</v>
      </c>
      <c r="B34" t="s">
        <v>79</v>
      </c>
      <c r="I34" t="s">
        <v>95</v>
      </c>
      <c r="J34" t="s">
        <v>99</v>
      </c>
      <c r="K34" t="s">
        <v>100</v>
      </c>
      <c r="Q34" t="s">
        <v>103</v>
      </c>
      <c r="R34" t="s">
        <v>99</v>
      </c>
      <c r="S34" t="s">
        <v>100</v>
      </c>
      <c r="U34" t="s">
        <v>125</v>
      </c>
    </row>
    <row r="35" spans="1:21" x14ac:dyDescent="0.25">
      <c r="A35" t="s">
        <v>78</v>
      </c>
      <c r="B35" t="s">
        <v>80</v>
      </c>
      <c r="I35" t="s">
        <v>96</v>
      </c>
      <c r="J35">
        <v>1.8</v>
      </c>
      <c r="K35" t="s">
        <v>0</v>
      </c>
      <c r="Q35" t="s">
        <v>96</v>
      </c>
      <c r="R35">
        <f>(1.91+6.54+5.41)*10^-1</f>
        <v>1.3860000000000001</v>
      </c>
      <c r="S35" t="s">
        <v>0</v>
      </c>
    </row>
    <row r="36" spans="1:21" x14ac:dyDescent="0.25">
      <c r="B36" t="s">
        <v>81</v>
      </c>
      <c r="I36" t="s">
        <v>97</v>
      </c>
      <c r="J36">
        <v>0.2</v>
      </c>
      <c r="K36" t="s">
        <v>0</v>
      </c>
      <c r="Q36" t="s">
        <v>97</v>
      </c>
      <c r="R36">
        <f>0.191</f>
        <v>0.191</v>
      </c>
      <c r="S36" t="s">
        <v>0</v>
      </c>
    </row>
    <row r="37" spans="1:21" x14ac:dyDescent="0.25">
      <c r="B37" t="s">
        <v>82</v>
      </c>
      <c r="I37" t="s">
        <v>98</v>
      </c>
      <c r="J37">
        <v>60</v>
      </c>
      <c r="K37" t="s">
        <v>101</v>
      </c>
      <c r="Q37" t="s">
        <v>98</v>
      </c>
      <c r="R37">
        <f>2.99*10^2/9.8</f>
        <v>30.510204081632651</v>
      </c>
      <c r="S37" t="s">
        <v>101</v>
      </c>
    </row>
    <row r="38" spans="1:21" x14ac:dyDescent="0.25">
      <c r="B38" t="s">
        <v>83</v>
      </c>
    </row>
    <row r="57" spans="7:7" x14ac:dyDescent="0.25">
      <c r="G57">
        <v>4</v>
      </c>
    </row>
    <row r="58" spans="7:7" x14ac:dyDescent="0.25">
      <c r="G58">
        <v>367</v>
      </c>
    </row>
  </sheetData>
  <mergeCells count="19">
    <mergeCell ref="N5:N8"/>
    <mergeCell ref="N9:N10"/>
    <mergeCell ref="R5:R6"/>
    <mergeCell ref="R7:R8"/>
    <mergeCell ref="M3:P3"/>
    <mergeCell ref="Q3:T3"/>
    <mergeCell ref="J25:J32"/>
    <mergeCell ref="F5:F12"/>
    <mergeCell ref="F13:F16"/>
    <mergeCell ref="J5:J10"/>
    <mergeCell ref="J11:J18"/>
    <mergeCell ref="A2:D3"/>
    <mergeCell ref="B5:B6"/>
    <mergeCell ref="B7:B9"/>
    <mergeCell ref="B10:B15"/>
    <mergeCell ref="J19:J24"/>
    <mergeCell ref="E2:L2"/>
    <mergeCell ref="E3:H3"/>
    <mergeCell ref="I3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EC88-EB0A-4974-A271-7022EDA57FB1}">
  <dimension ref="A1:Y79"/>
  <sheetViews>
    <sheetView zoomScaleNormal="100" workbookViewId="0">
      <selection activeCell="S15" sqref="S15"/>
    </sheetView>
  </sheetViews>
  <sheetFormatPr defaultRowHeight="13.8" x14ac:dyDescent="0.25"/>
  <sheetData>
    <row r="1" spans="1:25" x14ac:dyDescent="0.25">
      <c r="A1" t="s">
        <v>2</v>
      </c>
      <c r="B1" t="s">
        <v>128</v>
      </c>
    </row>
    <row r="2" spans="1:25" x14ac:dyDescent="0.25">
      <c r="A2" t="s">
        <v>142</v>
      </c>
    </row>
    <row r="3" spans="1:25" x14ac:dyDescent="0.25">
      <c r="A3" t="s">
        <v>140</v>
      </c>
      <c r="B3">
        <f>4/1.386</f>
        <v>2.8860028860028861</v>
      </c>
    </row>
    <row r="4" spans="1:25" x14ac:dyDescent="0.25">
      <c r="A4" t="s">
        <v>101</v>
      </c>
      <c r="B4" t="s">
        <v>131</v>
      </c>
    </row>
    <row r="10" spans="1:25" x14ac:dyDescent="0.25">
      <c r="A10" s="7" t="s">
        <v>3</v>
      </c>
      <c r="B10" s="7"/>
      <c r="C10" s="7"/>
      <c r="D10" s="7"/>
      <c r="E10" s="7"/>
      <c r="F10" s="8" t="s">
        <v>13</v>
      </c>
      <c r="G10" s="8"/>
      <c r="H10" s="8"/>
      <c r="I10" s="8"/>
      <c r="J10" s="8"/>
      <c r="K10" s="8"/>
      <c r="L10" s="8"/>
      <c r="M10" s="8"/>
      <c r="N10" s="8"/>
      <c r="O10" s="8"/>
      <c r="P10" s="8" t="s">
        <v>72</v>
      </c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 s="7"/>
      <c r="B11" s="7"/>
      <c r="C11" s="7"/>
      <c r="D11" s="7"/>
      <c r="E11" s="7"/>
      <c r="F11" s="8" t="s">
        <v>22</v>
      </c>
      <c r="G11" s="8"/>
      <c r="H11" s="8"/>
      <c r="I11" s="8"/>
      <c r="J11" s="8"/>
      <c r="K11" s="8" t="s">
        <v>38</v>
      </c>
      <c r="L11" s="8"/>
      <c r="M11" s="8"/>
      <c r="N11" s="8"/>
      <c r="O11" s="8"/>
      <c r="P11" s="8" t="s">
        <v>71</v>
      </c>
      <c r="Q11" s="8"/>
      <c r="R11" s="8"/>
      <c r="S11" s="8"/>
      <c r="T11" s="8"/>
      <c r="U11" s="8" t="s">
        <v>88</v>
      </c>
      <c r="V11" s="8"/>
      <c r="W11" s="8"/>
      <c r="X11" s="8"/>
      <c r="Y11" s="8"/>
    </row>
    <row r="12" spans="1:25" x14ac:dyDescent="0.25">
      <c r="A12" t="s">
        <v>15</v>
      </c>
      <c r="B12" t="s">
        <v>26</v>
      </c>
      <c r="C12" t="s">
        <v>129</v>
      </c>
      <c r="D12" t="s">
        <v>130</v>
      </c>
      <c r="E12" t="s">
        <v>102</v>
      </c>
      <c r="F12" t="s">
        <v>15</v>
      </c>
      <c r="G12" t="s">
        <v>26</v>
      </c>
      <c r="H12" t="s">
        <v>129</v>
      </c>
      <c r="I12" t="s">
        <v>130</v>
      </c>
      <c r="J12" t="s">
        <v>102</v>
      </c>
      <c r="K12" s="2" t="s">
        <v>14</v>
      </c>
      <c r="L12" s="2" t="s">
        <v>25</v>
      </c>
      <c r="M12" t="s">
        <v>129</v>
      </c>
      <c r="N12" t="s">
        <v>130</v>
      </c>
      <c r="O12" t="s">
        <v>102</v>
      </c>
      <c r="P12" t="s">
        <v>15</v>
      </c>
      <c r="Q12" t="s">
        <v>26</v>
      </c>
      <c r="R12" t="s">
        <v>129</v>
      </c>
      <c r="S12" t="s">
        <v>130</v>
      </c>
      <c r="T12" t="s">
        <v>102</v>
      </c>
      <c r="U12" t="s">
        <v>15</v>
      </c>
      <c r="V12" t="s">
        <v>26</v>
      </c>
      <c r="W12" t="s">
        <v>129</v>
      </c>
      <c r="X12" t="s">
        <v>130</v>
      </c>
      <c r="Y12" t="s">
        <v>102</v>
      </c>
    </row>
    <row r="13" spans="1:25" x14ac:dyDescent="0.25">
      <c r="A13" s="3" t="s">
        <v>0</v>
      </c>
      <c r="B13" s="7" t="s">
        <v>27</v>
      </c>
      <c r="C13">
        <v>30.5</v>
      </c>
      <c r="D13">
        <f>C13*$B$3^3</f>
        <v>733.14541434204364</v>
      </c>
      <c r="E13" s="1" t="s">
        <v>101</v>
      </c>
      <c r="F13" s="3" t="s">
        <v>18</v>
      </c>
      <c r="G13" s="7" t="s">
        <v>32</v>
      </c>
      <c r="H13">
        <f>-9.3*10^-1</f>
        <v>-0.93000000000000016</v>
      </c>
      <c r="I13">
        <f>H13*$B$3^3</f>
        <v>-22.354925748790187</v>
      </c>
      <c r="J13" s="1" t="s">
        <v>101</v>
      </c>
      <c r="K13" t="s">
        <v>39</v>
      </c>
      <c r="L13" s="7" t="s">
        <v>53</v>
      </c>
      <c r="O13" s="1"/>
      <c r="P13" s="3" t="s">
        <v>73</v>
      </c>
      <c r="Q13" s="7" t="s">
        <v>85</v>
      </c>
      <c r="R13">
        <f>-9.64*10^0</f>
        <v>-9.64</v>
      </c>
      <c r="S13">
        <f>R13*$B$3^2</f>
        <v>-80.291682023283755</v>
      </c>
      <c r="T13" s="1" t="s">
        <v>120</v>
      </c>
      <c r="U13" s="3" t="s">
        <v>89</v>
      </c>
      <c r="V13" s="7" t="s">
        <v>93</v>
      </c>
      <c r="W13">
        <v>0</v>
      </c>
      <c r="X13">
        <v>0</v>
      </c>
      <c r="Y13" s="1" t="s">
        <v>0</v>
      </c>
    </row>
    <row r="14" spans="1:25" x14ac:dyDescent="0.25">
      <c r="A14" s="3" t="s">
        <v>1</v>
      </c>
      <c r="B14" s="7"/>
      <c r="C14">
        <v>9.8010000000000002</v>
      </c>
      <c r="D14">
        <f>C14</f>
        <v>9.8010000000000002</v>
      </c>
      <c r="E14" s="1" t="s">
        <v>105</v>
      </c>
      <c r="F14" t="s">
        <v>19</v>
      </c>
      <c r="G14" s="7"/>
      <c r="J14" s="1"/>
      <c r="K14" t="s">
        <v>40</v>
      </c>
      <c r="L14" s="7"/>
      <c r="O14" s="1"/>
      <c r="P14" s="3" t="s">
        <v>74</v>
      </c>
      <c r="Q14" s="7"/>
      <c r="R14">
        <f>R13</f>
        <v>-9.64</v>
      </c>
      <c r="S14">
        <f>R14*$B$3^2</f>
        <v>-80.291682023283755</v>
      </c>
      <c r="T14" s="1" t="s">
        <v>121</v>
      </c>
      <c r="U14" s="3" t="s">
        <v>91</v>
      </c>
      <c r="V14" s="7"/>
      <c r="W14">
        <v>1.5</v>
      </c>
      <c r="X14">
        <v>1.5</v>
      </c>
      <c r="Y14" s="1" t="s">
        <v>0</v>
      </c>
    </row>
    <row r="15" spans="1:25" x14ac:dyDescent="0.25">
      <c r="A15" s="3" t="s">
        <v>4</v>
      </c>
      <c r="B15" s="7" t="s">
        <v>28</v>
      </c>
      <c r="C15">
        <v>0</v>
      </c>
      <c r="D15">
        <f>C15*$B$3^1</f>
        <v>0</v>
      </c>
      <c r="E15" s="1" t="s">
        <v>0</v>
      </c>
      <c r="F15" s="3" t="s">
        <v>20</v>
      </c>
      <c r="G15" s="7"/>
      <c r="H15">
        <f>-3.55*10^1</f>
        <v>-35.5</v>
      </c>
      <c r="I15">
        <f t="shared" ref="I15" si="0">H15*$B$3^3</f>
        <v>-853.33318718500163</v>
      </c>
      <c r="J15" s="1" t="s">
        <v>101</v>
      </c>
      <c r="K15" s="3" t="s">
        <v>41</v>
      </c>
      <c r="L15" s="7"/>
      <c r="M15">
        <v>0</v>
      </c>
      <c r="N15">
        <f>M15*$B$3^3</f>
        <v>0</v>
      </c>
      <c r="O15" s="1" t="s">
        <v>114</v>
      </c>
      <c r="P15" s="3" t="s">
        <v>75</v>
      </c>
      <c r="Q15" s="7"/>
      <c r="R15">
        <f>-1*R16/2</f>
        <v>3.0750000000000002</v>
      </c>
      <c r="S15">
        <f>R15*$B$3^3</f>
        <v>73.915480298419155</v>
      </c>
      <c r="T15" s="1" t="s">
        <v>122</v>
      </c>
      <c r="U15" s="3" t="s">
        <v>92</v>
      </c>
      <c r="V15" s="7" t="s">
        <v>94</v>
      </c>
      <c r="W15">
        <v>0</v>
      </c>
      <c r="X15">
        <v>0</v>
      </c>
      <c r="Y15" s="1" t="s">
        <v>0</v>
      </c>
    </row>
    <row r="16" spans="1:25" x14ac:dyDescent="0.25">
      <c r="A16" s="3" t="s">
        <v>5</v>
      </c>
      <c r="B16" s="7"/>
      <c r="C16">
        <v>0</v>
      </c>
      <c r="D16">
        <f t="shared" ref="D16:D17" si="1">C16*$B$3^1</f>
        <v>0</v>
      </c>
      <c r="E16" s="1" t="s">
        <v>0</v>
      </c>
      <c r="F16" t="s">
        <v>23</v>
      </c>
      <c r="G16" s="7"/>
      <c r="J16" s="1"/>
      <c r="K16" t="s">
        <v>42</v>
      </c>
      <c r="L16" s="7"/>
      <c r="O16" s="1"/>
      <c r="P16" s="3" t="s">
        <v>76</v>
      </c>
      <c r="Q16" s="7"/>
      <c r="R16">
        <f>-6.15</f>
        <v>-6.15</v>
      </c>
      <c r="S16">
        <f>R16*$B$3^3</f>
        <v>-147.83096059683831</v>
      </c>
      <c r="T16" s="1" t="s">
        <v>122</v>
      </c>
      <c r="U16" s="3" t="s">
        <v>90</v>
      </c>
      <c r="V16" s="7"/>
      <c r="W16">
        <v>-1.5</v>
      </c>
      <c r="X16">
        <v>-1.5</v>
      </c>
      <c r="Y16" s="1" t="s">
        <v>0</v>
      </c>
    </row>
    <row r="17" spans="1:20" x14ac:dyDescent="0.25">
      <c r="A17" s="3" t="s">
        <v>6</v>
      </c>
      <c r="B17" s="7"/>
      <c r="C17">
        <f>1.96*10^-2</f>
        <v>1.9599999999999999E-2</v>
      </c>
      <c r="D17">
        <f t="shared" si="1"/>
        <v>5.6565656565656569E-2</v>
      </c>
      <c r="E17" s="1" t="s">
        <v>0</v>
      </c>
      <c r="F17" s="3" t="s">
        <v>24</v>
      </c>
      <c r="G17" s="7"/>
      <c r="H17">
        <f>-4.88*10^0</f>
        <v>-4.88</v>
      </c>
      <c r="I17">
        <f>H17*$B$3^5</f>
        <v>-977.02038979551844</v>
      </c>
      <c r="J17" s="1" t="s">
        <v>111</v>
      </c>
      <c r="K17" s="3" t="s">
        <v>43</v>
      </c>
      <c r="L17" s="7"/>
      <c r="M17">
        <v>0</v>
      </c>
      <c r="N17">
        <f>M17*$B$3^4</f>
        <v>0</v>
      </c>
      <c r="O17" s="1" t="s">
        <v>116</v>
      </c>
      <c r="P17" s="4" t="s">
        <v>84</v>
      </c>
      <c r="Q17" s="7" t="s">
        <v>87</v>
      </c>
      <c r="R17">
        <f>9.64*10^0</f>
        <v>9.64</v>
      </c>
      <c r="T17" s="1" t="s">
        <v>120</v>
      </c>
    </row>
    <row r="18" spans="1:20" x14ac:dyDescent="0.25">
      <c r="A18" t="s">
        <v>8</v>
      </c>
      <c r="B18" s="7" t="s">
        <v>29</v>
      </c>
      <c r="C18">
        <f>1.77*10^-1</f>
        <v>0.17700000000000002</v>
      </c>
      <c r="D18">
        <f>C18*$B$3^5</f>
        <v>35.437010039714501</v>
      </c>
      <c r="E18" s="1" t="s">
        <v>104</v>
      </c>
      <c r="F18" t="s">
        <v>21</v>
      </c>
      <c r="G18" s="7"/>
      <c r="J18" s="1"/>
      <c r="K18" t="s">
        <v>44</v>
      </c>
      <c r="L18" s="7"/>
      <c r="O18" s="1"/>
      <c r="P18" s="4" t="s">
        <v>86</v>
      </c>
      <c r="Q18" s="7"/>
      <c r="R18">
        <f>-6.15*10^0</f>
        <v>-6.15</v>
      </c>
      <c r="T18" s="1" t="s">
        <v>122</v>
      </c>
    </row>
    <row r="19" spans="1:20" x14ac:dyDescent="0.25">
      <c r="A19" s="3" t="s">
        <v>9</v>
      </c>
      <c r="B19" s="7"/>
      <c r="C19">
        <f>3.45</f>
        <v>3.45</v>
      </c>
      <c r="D19">
        <f t="shared" ref="D19:D20" si="2">C19*$B$3^5</f>
        <v>690.72138213002847</v>
      </c>
      <c r="E19" s="1" t="s">
        <v>104</v>
      </c>
      <c r="F19" t="s">
        <v>30</v>
      </c>
      <c r="G19" s="7"/>
      <c r="J19" s="1"/>
      <c r="K19" t="s">
        <v>45</v>
      </c>
      <c r="L19" s="7" t="s">
        <v>69</v>
      </c>
      <c r="O19" s="1"/>
      <c r="P19" s="3" t="s">
        <v>123</v>
      </c>
      <c r="Q19" t="s">
        <v>127</v>
      </c>
      <c r="R19" t="s">
        <v>126</v>
      </c>
    </row>
    <row r="20" spans="1:20" x14ac:dyDescent="0.25">
      <c r="A20" t="s">
        <v>7</v>
      </c>
      <c r="B20" s="7"/>
      <c r="C20">
        <f>3.45</f>
        <v>3.45</v>
      </c>
      <c r="D20">
        <f t="shared" si="2"/>
        <v>690.72138213002847</v>
      </c>
      <c r="E20" s="1" t="s">
        <v>104</v>
      </c>
      <c r="F20" s="3" t="s">
        <v>31</v>
      </c>
      <c r="G20" s="7"/>
      <c r="H20">
        <f>-1.93*10^0</f>
        <v>-1.93</v>
      </c>
      <c r="I20">
        <f>H20*B3^4</f>
        <v>-133.88883208479589</v>
      </c>
      <c r="J20" s="1" t="s">
        <v>112</v>
      </c>
      <c r="K20" t="s">
        <v>46</v>
      </c>
      <c r="L20" s="7"/>
      <c r="O20" s="1"/>
    </row>
    <row r="21" spans="1:20" x14ac:dyDescent="0.25">
      <c r="A21" t="s">
        <v>10</v>
      </c>
      <c r="B21" s="7"/>
      <c r="E21" s="1"/>
      <c r="F21" t="s">
        <v>33</v>
      </c>
      <c r="G21" s="7" t="s">
        <v>37</v>
      </c>
      <c r="J21" s="1"/>
      <c r="K21" s="3" t="s">
        <v>47</v>
      </c>
      <c r="L21" s="7"/>
      <c r="M21">
        <v>0</v>
      </c>
      <c r="N21">
        <f>M21*$B$3^3</f>
        <v>0</v>
      </c>
      <c r="O21" s="1" t="s">
        <v>117</v>
      </c>
    </row>
    <row r="22" spans="1:20" x14ac:dyDescent="0.25">
      <c r="A22" t="s">
        <v>11</v>
      </c>
      <c r="B22" s="7"/>
      <c r="E22" s="1"/>
      <c r="F22" t="s">
        <v>34</v>
      </c>
      <c r="G22" s="7"/>
      <c r="J22" s="1"/>
      <c r="K22" t="s">
        <v>48</v>
      </c>
      <c r="L22" s="7"/>
      <c r="O22" s="1"/>
    </row>
    <row r="23" spans="1:20" x14ac:dyDescent="0.25">
      <c r="A23" t="s">
        <v>12</v>
      </c>
      <c r="B23" s="7"/>
      <c r="E23" s="1"/>
      <c r="F23" t="s">
        <v>35</v>
      </c>
      <c r="G23" s="7"/>
      <c r="J23" s="1"/>
      <c r="K23" t="s">
        <v>49</v>
      </c>
      <c r="L23" s="7"/>
      <c r="O23" s="1"/>
    </row>
    <row r="24" spans="1:20" x14ac:dyDescent="0.25">
      <c r="A24" t="s">
        <v>107</v>
      </c>
      <c r="C24">
        <f>-6.11*10^-1</f>
        <v>-0.6110000000000001</v>
      </c>
      <c r="E24" s="1" t="s">
        <v>0</v>
      </c>
      <c r="F24" t="s">
        <v>36</v>
      </c>
      <c r="G24" s="7"/>
      <c r="J24" s="1"/>
      <c r="K24" s="3" t="s">
        <v>50</v>
      </c>
      <c r="L24" s="7"/>
      <c r="M24">
        <v>0</v>
      </c>
      <c r="N24">
        <f>M24*$B$3^4</f>
        <v>0</v>
      </c>
      <c r="O24" s="1" t="s">
        <v>116</v>
      </c>
    </row>
    <row r="25" spans="1:20" x14ac:dyDescent="0.25">
      <c r="A25" t="s">
        <v>108</v>
      </c>
      <c r="C25">
        <v>0</v>
      </c>
      <c r="E25" s="1" t="s">
        <v>0</v>
      </c>
      <c r="F25" s="3" t="s">
        <v>106</v>
      </c>
      <c r="H25">
        <f>-1.93*10^0</f>
        <v>-1.93</v>
      </c>
      <c r="I25">
        <f>H25*$B$3^4</f>
        <v>-133.88883208479589</v>
      </c>
      <c r="J25" s="1" t="s">
        <v>113</v>
      </c>
      <c r="K25" t="s">
        <v>51</v>
      </c>
      <c r="L25" s="7"/>
      <c r="O25" s="1"/>
    </row>
    <row r="26" spans="1:20" x14ac:dyDescent="0.25">
      <c r="A26" t="s">
        <v>109</v>
      </c>
      <c r="C26">
        <v>0</v>
      </c>
      <c r="E26" s="1" t="s">
        <v>0</v>
      </c>
      <c r="K26" t="s">
        <v>52</v>
      </c>
      <c r="L26" s="7"/>
      <c r="O26" s="1"/>
    </row>
    <row r="27" spans="1:20" x14ac:dyDescent="0.25">
      <c r="K27" t="s">
        <v>54</v>
      </c>
      <c r="L27" s="7" t="s">
        <v>60</v>
      </c>
      <c r="O27" s="1"/>
    </row>
    <row r="28" spans="1:20" x14ac:dyDescent="0.25">
      <c r="K28" t="s">
        <v>55</v>
      </c>
      <c r="L28" s="7"/>
      <c r="O28" s="1"/>
    </row>
    <row r="29" spans="1:20" x14ac:dyDescent="0.25">
      <c r="K29" s="3" t="s">
        <v>56</v>
      </c>
      <c r="L29" s="7"/>
      <c r="M29">
        <f>-1.31*10^2</f>
        <v>-131</v>
      </c>
      <c r="N29">
        <f>M29*B3^2</f>
        <v>-1091.1006582002253</v>
      </c>
      <c r="O29" s="1" t="s">
        <v>110</v>
      </c>
    </row>
    <row r="30" spans="1:20" x14ac:dyDescent="0.25">
      <c r="K30" t="s">
        <v>57</v>
      </c>
      <c r="L30" s="7"/>
      <c r="O30" s="1"/>
    </row>
    <row r="31" spans="1:20" x14ac:dyDescent="0.25">
      <c r="K31" s="3" t="s">
        <v>58</v>
      </c>
      <c r="L31" s="7"/>
      <c r="M31">
        <f>-9.4*10^0</f>
        <v>-9.4</v>
      </c>
      <c r="N31">
        <f>M31*$B$3^5</f>
        <v>-1881.9655049339906</v>
      </c>
      <c r="O31" s="1" t="s">
        <v>118</v>
      </c>
    </row>
    <row r="32" spans="1:20" x14ac:dyDescent="0.25">
      <c r="K32" t="s">
        <v>59</v>
      </c>
      <c r="L32" s="7"/>
      <c r="O32" s="1"/>
    </row>
    <row r="33" spans="1:15" x14ac:dyDescent="0.25">
      <c r="K33" t="s">
        <v>61</v>
      </c>
      <c r="L33" s="7" t="s">
        <v>70</v>
      </c>
      <c r="O33" s="1"/>
    </row>
    <row r="34" spans="1:15" x14ac:dyDescent="0.25">
      <c r="K34" t="s">
        <v>62</v>
      </c>
      <c r="L34" s="7"/>
      <c r="O34" s="1"/>
    </row>
    <row r="35" spans="1:15" x14ac:dyDescent="0.25">
      <c r="K35" t="s">
        <v>63</v>
      </c>
      <c r="L35" s="7"/>
      <c r="O35" s="1"/>
    </row>
    <row r="36" spans="1:15" x14ac:dyDescent="0.25">
      <c r="K36" s="3" t="s">
        <v>64</v>
      </c>
      <c r="L36" s="7"/>
      <c r="M36">
        <f>-6.32*10^-1</f>
        <v>-0.63200000000000012</v>
      </c>
      <c r="N36">
        <f>M36*$B$3^4</f>
        <v>-43.84338957388136</v>
      </c>
      <c r="O36" s="1" t="s">
        <v>119</v>
      </c>
    </row>
    <row r="37" spans="1:15" x14ac:dyDescent="0.25">
      <c r="K37" s="3" t="s">
        <v>65</v>
      </c>
      <c r="L37" s="7"/>
      <c r="M37">
        <f>3.18*10^0</f>
        <v>3.18</v>
      </c>
      <c r="N37">
        <f>M37*$B$3^3</f>
        <v>76.439423528121281</v>
      </c>
      <c r="O37" s="1" t="s">
        <v>101</v>
      </c>
    </row>
    <row r="38" spans="1:15" x14ac:dyDescent="0.25">
      <c r="K38" t="s">
        <v>66</v>
      </c>
      <c r="L38" s="7"/>
      <c r="O38" s="1"/>
    </row>
    <row r="39" spans="1:15" x14ac:dyDescent="0.25">
      <c r="K39" t="s">
        <v>67</v>
      </c>
      <c r="L39" s="7"/>
      <c r="O39" s="1"/>
    </row>
    <row r="40" spans="1:15" x14ac:dyDescent="0.25">
      <c r="K40" t="s">
        <v>68</v>
      </c>
      <c r="L40" s="7"/>
      <c r="O40" s="1"/>
    </row>
    <row r="42" spans="1:15" x14ac:dyDescent="0.25">
      <c r="A42" t="s">
        <v>132</v>
      </c>
    </row>
    <row r="49" spans="1:25" x14ac:dyDescent="0.25">
      <c r="A49" s="7" t="s">
        <v>3</v>
      </c>
      <c r="B49" s="7"/>
      <c r="C49" s="7"/>
      <c r="D49" s="7"/>
      <c r="E49" s="7"/>
      <c r="F49" s="8" t="s">
        <v>13</v>
      </c>
      <c r="G49" s="8"/>
      <c r="H49" s="8"/>
      <c r="I49" s="8"/>
      <c r="J49" s="8"/>
      <c r="K49" s="8"/>
      <c r="L49" s="8"/>
      <c r="M49" s="8"/>
      <c r="N49" s="8"/>
      <c r="O49" s="8"/>
      <c r="P49" s="8" t="s">
        <v>72</v>
      </c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25">
      <c r="A50" s="7"/>
      <c r="B50" s="7"/>
      <c r="C50" s="7"/>
      <c r="D50" s="7"/>
      <c r="E50" s="7"/>
      <c r="F50" s="8" t="s">
        <v>22</v>
      </c>
      <c r="G50" s="8"/>
      <c r="H50" s="8"/>
      <c r="I50" s="8"/>
      <c r="J50" s="8"/>
      <c r="K50" s="8" t="s">
        <v>38</v>
      </c>
      <c r="L50" s="8"/>
      <c r="M50" s="8"/>
      <c r="N50" s="8"/>
      <c r="O50" s="8"/>
      <c r="P50" s="8" t="s">
        <v>71</v>
      </c>
      <c r="Q50" s="8"/>
      <c r="R50" s="8"/>
      <c r="S50" s="8"/>
      <c r="T50" s="8"/>
      <c r="U50" s="8" t="s">
        <v>88</v>
      </c>
      <c r="V50" s="8"/>
      <c r="W50" s="8"/>
      <c r="X50" s="8"/>
      <c r="Y50" s="8"/>
    </row>
    <row r="51" spans="1:25" x14ac:dyDescent="0.25">
      <c r="A51" t="s">
        <v>15</v>
      </c>
      <c r="B51" t="s">
        <v>26</v>
      </c>
      <c r="C51" t="s">
        <v>133</v>
      </c>
      <c r="D51" t="s">
        <v>132</v>
      </c>
      <c r="E51" t="s">
        <v>102</v>
      </c>
      <c r="F51" t="s">
        <v>15</v>
      </c>
      <c r="G51" t="s">
        <v>26</v>
      </c>
      <c r="H51" t="s">
        <v>133</v>
      </c>
      <c r="I51" t="s">
        <v>132</v>
      </c>
      <c r="J51" t="s">
        <v>102</v>
      </c>
      <c r="K51" s="2" t="s">
        <v>14</v>
      </c>
      <c r="L51" s="2" t="s">
        <v>25</v>
      </c>
      <c r="M51" t="s">
        <v>133</v>
      </c>
      <c r="N51" t="s">
        <v>132</v>
      </c>
      <c r="O51" t="s">
        <v>102</v>
      </c>
      <c r="P51" t="s">
        <v>15</v>
      </c>
      <c r="Q51" t="s">
        <v>26</v>
      </c>
      <c r="R51" t="s">
        <v>129</v>
      </c>
      <c r="S51" t="s">
        <v>132</v>
      </c>
      <c r="T51" t="s">
        <v>102</v>
      </c>
      <c r="U51" t="s">
        <v>15</v>
      </c>
      <c r="V51" t="s">
        <v>26</v>
      </c>
      <c r="W51" t="s">
        <v>129</v>
      </c>
      <c r="X51" t="s">
        <v>132</v>
      </c>
      <c r="Y51" t="s">
        <v>102</v>
      </c>
    </row>
    <row r="52" spans="1:25" x14ac:dyDescent="0.25">
      <c r="A52" s="3" t="s">
        <v>0</v>
      </c>
      <c r="B52" s="7" t="s">
        <v>27</v>
      </c>
      <c r="C52">
        <v>733.14541434204364</v>
      </c>
      <c r="D52">
        <f>C52</f>
        <v>733.14541434204364</v>
      </c>
      <c r="E52" s="1" t="s">
        <v>101</v>
      </c>
      <c r="F52" s="3" t="s">
        <v>18</v>
      </c>
      <c r="G52" s="7" t="s">
        <v>32</v>
      </c>
      <c r="H52">
        <v>-22.354925748790187</v>
      </c>
      <c r="I52">
        <f>H52*$H$73</f>
        <v>-10.373972981829949</v>
      </c>
      <c r="J52" s="1" t="s">
        <v>101</v>
      </c>
      <c r="K52" t="s">
        <v>39</v>
      </c>
      <c r="L52" s="7" t="s">
        <v>53</v>
      </c>
      <c r="O52" s="1"/>
      <c r="P52" s="3" t="s">
        <v>73</v>
      </c>
      <c r="Q52" s="7" t="s">
        <v>85</v>
      </c>
      <c r="R52" s="5">
        <v>-80.291682023283755</v>
      </c>
      <c r="S52" s="6">
        <v>-41.44</v>
      </c>
      <c r="T52" s="1" t="s">
        <v>120</v>
      </c>
      <c r="U52" s="3" t="s">
        <v>89</v>
      </c>
      <c r="V52" s="7" t="s">
        <v>93</v>
      </c>
      <c r="W52">
        <v>0</v>
      </c>
      <c r="X52">
        <f>W52</f>
        <v>0</v>
      </c>
      <c r="Y52" s="1" t="s">
        <v>0</v>
      </c>
    </row>
    <row r="53" spans="1:25" x14ac:dyDescent="0.25">
      <c r="A53" s="3" t="s">
        <v>1</v>
      </c>
      <c r="B53" s="7"/>
      <c r="C53">
        <v>9.8010000000000002</v>
      </c>
      <c r="D53">
        <f t="shared" ref="D53:D65" si="3">C53</f>
        <v>9.8010000000000002</v>
      </c>
      <c r="E53" s="1" t="s">
        <v>105</v>
      </c>
      <c r="F53" t="s">
        <v>19</v>
      </c>
      <c r="G53" s="7"/>
      <c r="J53" s="1"/>
      <c r="K53" t="s">
        <v>40</v>
      </c>
      <c r="L53" s="7"/>
      <c r="O53" s="1"/>
      <c r="P53" s="3" t="s">
        <v>74</v>
      </c>
      <c r="Q53" s="7"/>
      <c r="R53">
        <v>-80.291682023283755</v>
      </c>
      <c r="S53">
        <f>R53*$H$73</f>
        <v>-37.259964507835804</v>
      </c>
      <c r="T53" s="1" t="s">
        <v>121</v>
      </c>
      <c r="U53" s="3" t="s">
        <v>91</v>
      </c>
      <c r="V53" s="7"/>
      <c r="W53">
        <v>1.5</v>
      </c>
      <c r="X53">
        <f t="shared" ref="X53:X55" si="4">W53</f>
        <v>1.5</v>
      </c>
      <c r="Y53" s="1" t="s">
        <v>0</v>
      </c>
    </row>
    <row r="54" spans="1:25" x14ac:dyDescent="0.25">
      <c r="A54" s="3" t="s">
        <v>4</v>
      </c>
      <c r="B54" s="7" t="s">
        <v>28</v>
      </c>
      <c r="C54">
        <v>0</v>
      </c>
      <c r="D54">
        <f t="shared" si="3"/>
        <v>0</v>
      </c>
      <c r="E54" s="1" t="s">
        <v>0</v>
      </c>
      <c r="F54" s="3" t="s">
        <v>20</v>
      </c>
      <c r="G54" s="7"/>
      <c r="H54" s="5">
        <v>-853.33318718500163</v>
      </c>
      <c r="I54" s="6">
        <v>-481.6</v>
      </c>
      <c r="J54" s="1" t="s">
        <v>101</v>
      </c>
      <c r="K54" s="3" t="s">
        <v>41</v>
      </c>
      <c r="L54" s="7"/>
      <c r="M54">
        <v>0</v>
      </c>
      <c r="N54">
        <v>-6</v>
      </c>
      <c r="O54" s="1" t="s">
        <v>114</v>
      </c>
      <c r="P54" s="3" t="s">
        <v>75</v>
      </c>
      <c r="Q54" s="7"/>
      <c r="R54">
        <v>73.915480298419155</v>
      </c>
      <c r="S54">
        <f t="shared" ref="S54:S57" si="5">R54*$H$73</f>
        <v>34.30103969798612</v>
      </c>
      <c r="T54" s="1" t="s">
        <v>122</v>
      </c>
      <c r="U54" s="3" t="s">
        <v>92</v>
      </c>
      <c r="V54" s="7" t="s">
        <v>94</v>
      </c>
      <c r="W54">
        <v>0</v>
      </c>
      <c r="X54">
        <f t="shared" si="4"/>
        <v>0</v>
      </c>
      <c r="Y54" s="1" t="s">
        <v>0</v>
      </c>
    </row>
    <row r="55" spans="1:25" x14ac:dyDescent="0.25">
      <c r="A55" s="3" t="s">
        <v>5</v>
      </c>
      <c r="B55" s="7"/>
      <c r="C55">
        <v>0</v>
      </c>
      <c r="D55">
        <f t="shared" si="3"/>
        <v>0</v>
      </c>
      <c r="E55" s="1" t="s">
        <v>0</v>
      </c>
      <c r="F55" t="s">
        <v>23</v>
      </c>
      <c r="G55" s="7"/>
      <c r="J55" s="1"/>
      <c r="K55" t="s">
        <v>42</v>
      </c>
      <c r="L55" s="7"/>
      <c r="O55" s="1"/>
      <c r="P55" s="3" t="s">
        <v>76</v>
      </c>
      <c r="Q55" s="7"/>
      <c r="R55">
        <v>-147.83096059683831</v>
      </c>
      <c r="S55">
        <f t="shared" si="5"/>
        <v>-68.60207939597224</v>
      </c>
      <c r="T55" s="1" t="s">
        <v>122</v>
      </c>
      <c r="U55" s="3" t="s">
        <v>90</v>
      </c>
      <c r="V55" s="7"/>
      <c r="W55">
        <v>-1.5</v>
      </c>
      <c r="X55">
        <f t="shared" si="4"/>
        <v>-1.5</v>
      </c>
      <c r="Y55" s="1" t="s">
        <v>0</v>
      </c>
    </row>
    <row r="56" spans="1:25" x14ac:dyDescent="0.25">
      <c r="A56" s="3" t="s">
        <v>6</v>
      </c>
      <c r="B56" s="7"/>
      <c r="C56">
        <v>5.6565656565656597E-2</v>
      </c>
      <c r="D56">
        <f t="shared" si="3"/>
        <v>5.6565656565656597E-2</v>
      </c>
      <c r="E56" s="1" t="s">
        <v>0</v>
      </c>
      <c r="F56" s="3" t="s">
        <v>24</v>
      </c>
      <c r="G56" s="7"/>
      <c r="H56">
        <v>-977.02038979551844</v>
      </c>
      <c r="I56">
        <f>H56*$H$73</f>
        <v>-453.39372809074064</v>
      </c>
      <c r="J56" s="1" t="s">
        <v>111</v>
      </c>
      <c r="K56" s="3" t="s">
        <v>43</v>
      </c>
      <c r="L56" s="7"/>
      <c r="M56">
        <v>0</v>
      </c>
      <c r="N56">
        <v>-14</v>
      </c>
      <c r="O56" s="1" t="s">
        <v>116</v>
      </c>
      <c r="P56" s="4" t="s">
        <v>84</v>
      </c>
      <c r="Q56" s="7" t="s">
        <v>87</v>
      </c>
      <c r="R56">
        <f>9.64*10^0</f>
        <v>9.64</v>
      </c>
      <c r="S56">
        <f t="shared" si="5"/>
        <v>4.4735151737309096</v>
      </c>
      <c r="T56" s="1" t="s">
        <v>120</v>
      </c>
    </row>
    <row r="57" spans="1:25" x14ac:dyDescent="0.25">
      <c r="A57" t="s">
        <v>8</v>
      </c>
      <c r="B57" s="7" t="s">
        <v>29</v>
      </c>
      <c r="C57">
        <v>35.437010039714501</v>
      </c>
      <c r="D57">
        <f t="shared" si="3"/>
        <v>35.437010039714501</v>
      </c>
      <c r="E57" s="1" t="s">
        <v>104</v>
      </c>
      <c r="F57" t="s">
        <v>21</v>
      </c>
      <c r="G57" s="7"/>
      <c r="J57" s="1"/>
      <c r="K57" t="s">
        <v>44</v>
      </c>
      <c r="L57" s="7"/>
      <c r="O57" s="1"/>
      <c r="P57" s="4" t="s">
        <v>86</v>
      </c>
      <c r="Q57" s="7"/>
      <c r="R57">
        <f>-6.15*10^0</f>
        <v>-6.15</v>
      </c>
      <c r="S57">
        <f t="shared" si="5"/>
        <v>-2.853954182411317</v>
      </c>
      <c r="T57" s="1" t="s">
        <v>122</v>
      </c>
    </row>
    <row r="58" spans="1:25" x14ac:dyDescent="0.25">
      <c r="A58" s="3" t="s">
        <v>9</v>
      </c>
      <c r="B58" s="7"/>
      <c r="C58">
        <v>690.72138213002847</v>
      </c>
      <c r="D58">
        <f t="shared" si="3"/>
        <v>690.72138213002847</v>
      </c>
      <c r="E58" s="1" t="s">
        <v>104</v>
      </c>
      <c r="F58" t="s">
        <v>30</v>
      </c>
      <c r="G58" s="7"/>
      <c r="J58" s="1"/>
      <c r="K58" t="s">
        <v>45</v>
      </c>
      <c r="L58" s="7" t="s">
        <v>69</v>
      </c>
      <c r="O58" s="1"/>
      <c r="P58" s="3" t="s">
        <v>123</v>
      </c>
      <c r="Q58" t="s">
        <v>127</v>
      </c>
      <c r="R58" t="s">
        <v>126</v>
      </c>
    </row>
    <row r="59" spans="1:25" x14ac:dyDescent="0.25">
      <c r="A59" t="s">
        <v>7</v>
      </c>
      <c r="B59" s="7"/>
      <c r="C59">
        <v>690.72138213002847</v>
      </c>
      <c r="D59">
        <f t="shared" si="3"/>
        <v>690.72138213002847</v>
      </c>
      <c r="E59" s="1" t="s">
        <v>104</v>
      </c>
      <c r="F59" s="3" t="s">
        <v>31</v>
      </c>
      <c r="G59" s="7"/>
      <c r="H59">
        <v>-133.88883208479589</v>
      </c>
      <c r="I59">
        <f t="shared" ref="I59:I64" si="6">H59*$H$73</f>
        <v>-62.132128830336541</v>
      </c>
      <c r="J59" s="1" t="s">
        <v>112</v>
      </c>
      <c r="K59" t="s">
        <v>46</v>
      </c>
      <c r="L59" s="7"/>
      <c r="O59" s="1"/>
    </row>
    <row r="60" spans="1:25" x14ac:dyDescent="0.25">
      <c r="A60" t="s">
        <v>10</v>
      </c>
      <c r="B60" s="7"/>
      <c r="E60" s="1"/>
      <c r="F60" t="s">
        <v>33</v>
      </c>
      <c r="G60" s="7" t="s">
        <v>37</v>
      </c>
      <c r="J60" s="1"/>
      <c r="K60" s="3" t="s">
        <v>47</v>
      </c>
      <c r="L60" s="7"/>
      <c r="M60">
        <v>0</v>
      </c>
      <c r="N60">
        <v>-0.3</v>
      </c>
      <c r="O60" s="1" t="s">
        <v>117</v>
      </c>
    </row>
    <row r="61" spans="1:25" x14ac:dyDescent="0.25">
      <c r="A61" t="s">
        <v>11</v>
      </c>
      <c r="B61" s="7"/>
      <c r="E61" s="1"/>
      <c r="F61" t="s">
        <v>34</v>
      </c>
      <c r="G61" s="7"/>
      <c r="J61" s="1"/>
      <c r="K61" t="s">
        <v>48</v>
      </c>
      <c r="L61" s="7"/>
      <c r="O61" s="1"/>
    </row>
    <row r="62" spans="1:25" x14ac:dyDescent="0.25">
      <c r="A62" t="s">
        <v>12</v>
      </c>
      <c r="B62" s="7"/>
      <c r="E62" s="1"/>
      <c r="F62" t="s">
        <v>35</v>
      </c>
      <c r="G62" s="7"/>
      <c r="J62" s="1"/>
      <c r="K62" t="s">
        <v>49</v>
      </c>
      <c r="L62" s="7"/>
      <c r="O62" s="1"/>
    </row>
    <row r="63" spans="1:25" x14ac:dyDescent="0.25">
      <c r="A63" t="s">
        <v>107</v>
      </c>
      <c r="C63">
        <f>-6.11*10^-1</f>
        <v>-0.6110000000000001</v>
      </c>
      <c r="D63">
        <f t="shared" si="3"/>
        <v>-0.6110000000000001</v>
      </c>
      <c r="E63" s="1" t="s">
        <v>0</v>
      </c>
      <c r="F63" t="s">
        <v>36</v>
      </c>
      <c r="G63" s="7"/>
      <c r="J63" s="1"/>
      <c r="K63" s="3" t="s">
        <v>50</v>
      </c>
      <c r="L63" s="7"/>
      <c r="M63">
        <v>0</v>
      </c>
      <c r="N63">
        <v>0.56000000000000005</v>
      </c>
      <c r="O63" s="1" t="s">
        <v>116</v>
      </c>
    </row>
    <row r="64" spans="1:25" x14ac:dyDescent="0.25">
      <c r="A64" t="s">
        <v>108</v>
      </c>
      <c r="C64">
        <v>0</v>
      </c>
      <c r="D64">
        <f t="shared" si="3"/>
        <v>0</v>
      </c>
      <c r="E64" s="1" t="s">
        <v>0</v>
      </c>
      <c r="F64" s="3" t="s">
        <v>106</v>
      </c>
      <c r="H64">
        <v>-133.88883208479589</v>
      </c>
      <c r="I64">
        <f t="shared" si="6"/>
        <v>-62.132128830336541</v>
      </c>
      <c r="J64" s="1" t="s">
        <v>113</v>
      </c>
      <c r="K64" t="s">
        <v>51</v>
      </c>
      <c r="L64" s="7"/>
      <c r="O64" s="1"/>
    </row>
    <row r="65" spans="1:15" x14ac:dyDescent="0.25">
      <c r="A65" t="s">
        <v>109</v>
      </c>
      <c r="C65">
        <v>0</v>
      </c>
      <c r="D65">
        <f t="shared" si="3"/>
        <v>0</v>
      </c>
      <c r="E65" s="1" t="s">
        <v>0</v>
      </c>
      <c r="K65" t="s">
        <v>52</v>
      </c>
      <c r="L65" s="7"/>
      <c r="O65" s="1"/>
    </row>
    <row r="66" spans="1:15" x14ac:dyDescent="0.25">
      <c r="K66" t="s">
        <v>54</v>
      </c>
      <c r="L66" s="7" t="s">
        <v>60</v>
      </c>
      <c r="O66" s="1"/>
    </row>
    <row r="67" spans="1:15" x14ac:dyDescent="0.25">
      <c r="K67" t="s">
        <v>55</v>
      </c>
      <c r="L67" s="7"/>
      <c r="O67" s="1"/>
    </row>
    <row r="68" spans="1:15" x14ac:dyDescent="0.25">
      <c r="K68" s="3" t="s">
        <v>56</v>
      </c>
      <c r="L68" s="7"/>
      <c r="M68" s="5">
        <v>-1091.0999999999999</v>
      </c>
      <c r="N68" s="6">
        <v>-396</v>
      </c>
      <c r="O68" s="1" t="s">
        <v>110</v>
      </c>
    </row>
    <row r="69" spans="1:15" x14ac:dyDescent="0.25">
      <c r="G69" s="3" t="s">
        <v>137</v>
      </c>
      <c r="H69">
        <f>H54/I54</f>
        <v>1.7718712358492559</v>
      </c>
      <c r="K69" t="s">
        <v>57</v>
      </c>
      <c r="L69" s="7"/>
      <c r="O69" s="1"/>
    </row>
    <row r="70" spans="1:15" x14ac:dyDescent="0.25">
      <c r="G70" s="3" t="s">
        <v>138</v>
      </c>
      <c r="H70">
        <v>2.7553030303030299</v>
      </c>
      <c r="K70" s="3" t="s">
        <v>58</v>
      </c>
      <c r="L70" s="7"/>
      <c r="M70">
        <v>-1881.9655049339906</v>
      </c>
      <c r="N70">
        <f>M70*$H$73+14</f>
        <v>-859.34037787970533</v>
      </c>
      <c r="O70" s="1" t="s">
        <v>118</v>
      </c>
    </row>
    <row r="71" spans="1:15" x14ac:dyDescent="0.25">
      <c r="G71" s="3" t="s">
        <v>139</v>
      </c>
      <c r="H71">
        <f>R52/S52</f>
        <v>1.9375405893649555</v>
      </c>
      <c r="K71" t="s">
        <v>59</v>
      </c>
      <c r="L71" s="7"/>
      <c r="O71" s="1"/>
    </row>
    <row r="72" spans="1:15" x14ac:dyDescent="0.25">
      <c r="H72">
        <f>AVERAGE(H69:H71)</f>
        <v>2.1549049518390802</v>
      </c>
      <c r="K72" t="s">
        <v>61</v>
      </c>
      <c r="L72" s="7" t="s">
        <v>70</v>
      </c>
      <c r="O72" s="1"/>
    </row>
    <row r="73" spans="1:15" x14ac:dyDescent="0.25">
      <c r="G73" s="3" t="s">
        <v>141</v>
      </c>
      <c r="H73">
        <f>1/H72</f>
        <v>0.46405759063598645</v>
      </c>
      <c r="K73" t="s">
        <v>62</v>
      </c>
      <c r="L73" s="7"/>
      <c r="O73" s="1"/>
    </row>
    <row r="74" spans="1:15" x14ac:dyDescent="0.25">
      <c r="K74" t="s">
        <v>63</v>
      </c>
      <c r="L74" s="7"/>
      <c r="O74" s="1"/>
    </row>
    <row r="75" spans="1:15" x14ac:dyDescent="0.25">
      <c r="K75" s="3" t="s">
        <v>64</v>
      </c>
      <c r="L75" s="7"/>
      <c r="M75">
        <v>-43.84338957388136</v>
      </c>
      <c r="N75">
        <f>M75*$H$73+0.3</f>
        <v>-20.045857730970312</v>
      </c>
      <c r="O75" s="1" t="s">
        <v>119</v>
      </c>
    </row>
    <row r="76" spans="1:15" x14ac:dyDescent="0.25">
      <c r="K76" s="3" t="s">
        <v>65</v>
      </c>
      <c r="L76" s="7"/>
      <c r="M76">
        <v>76.439423528121281</v>
      </c>
      <c r="N76">
        <f>M76*$H$73-0.56</f>
        <v>34.912294712063698</v>
      </c>
      <c r="O76" s="1" t="s">
        <v>101</v>
      </c>
    </row>
    <row r="77" spans="1:15" x14ac:dyDescent="0.25">
      <c r="K77" t="s">
        <v>66</v>
      </c>
      <c r="L77" s="7"/>
      <c r="O77" s="1"/>
    </row>
    <row r="78" spans="1:15" x14ac:dyDescent="0.25">
      <c r="K78" t="s">
        <v>67</v>
      </c>
      <c r="L78" s="7"/>
      <c r="O78" s="1"/>
    </row>
    <row r="79" spans="1:15" x14ac:dyDescent="0.25">
      <c r="K79" t="s">
        <v>68</v>
      </c>
      <c r="L79" s="7"/>
      <c r="O79" s="1"/>
    </row>
  </sheetData>
  <mergeCells count="40">
    <mergeCell ref="L66:L71"/>
    <mergeCell ref="L72:L79"/>
    <mergeCell ref="B52:B53"/>
    <mergeCell ref="G52:G59"/>
    <mergeCell ref="L52:L57"/>
    <mergeCell ref="Q52:Q55"/>
    <mergeCell ref="V52:V53"/>
    <mergeCell ref="B54:B56"/>
    <mergeCell ref="V54:V55"/>
    <mergeCell ref="Q56:Q57"/>
    <mergeCell ref="B57:B62"/>
    <mergeCell ref="L58:L65"/>
    <mergeCell ref="G60:G63"/>
    <mergeCell ref="L33:L40"/>
    <mergeCell ref="P10:Y10"/>
    <mergeCell ref="A49:E50"/>
    <mergeCell ref="F49:O49"/>
    <mergeCell ref="P49:Y49"/>
    <mergeCell ref="F50:J50"/>
    <mergeCell ref="K50:O50"/>
    <mergeCell ref="P50:T50"/>
    <mergeCell ref="U50:Y50"/>
    <mergeCell ref="Q13:Q16"/>
    <mergeCell ref="V13:V14"/>
    <mergeCell ref="B15:B17"/>
    <mergeCell ref="V15:V16"/>
    <mergeCell ref="Q17:Q18"/>
    <mergeCell ref="B18:B23"/>
    <mergeCell ref="L19:L26"/>
    <mergeCell ref="L27:L32"/>
    <mergeCell ref="G21:G24"/>
    <mergeCell ref="P11:T11"/>
    <mergeCell ref="U11:Y11"/>
    <mergeCell ref="A10:E11"/>
    <mergeCell ref="F10:O10"/>
    <mergeCell ref="F11:J11"/>
    <mergeCell ref="K11:O11"/>
    <mergeCell ref="B13:B14"/>
    <mergeCell ref="G13:G20"/>
    <mergeCell ref="L13:L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2DC6-3793-4645-BFA2-AE2FE8C4C56D}">
  <dimension ref="A1:U32"/>
  <sheetViews>
    <sheetView topLeftCell="B1" zoomScale="115" zoomScaleNormal="115" workbookViewId="0">
      <selection activeCell="O6" sqref="O6"/>
    </sheetView>
  </sheetViews>
  <sheetFormatPr defaultRowHeight="13.8" x14ac:dyDescent="0.25"/>
  <sheetData>
    <row r="1" spans="1:21" x14ac:dyDescent="0.25">
      <c r="A1" t="s">
        <v>143</v>
      </c>
    </row>
    <row r="2" spans="1:21" x14ac:dyDescent="0.25">
      <c r="A2" s="7" t="s">
        <v>3</v>
      </c>
      <c r="B2" s="7"/>
      <c r="C2" s="7"/>
      <c r="D2" s="7"/>
      <c r="E2" s="8" t="s">
        <v>13</v>
      </c>
      <c r="F2" s="8"/>
      <c r="G2" s="8"/>
      <c r="H2" s="8"/>
      <c r="I2" s="8"/>
      <c r="J2" s="8"/>
      <c r="K2" s="8"/>
      <c r="L2" s="8"/>
      <c r="M2" t="s">
        <v>72</v>
      </c>
    </row>
    <row r="3" spans="1:21" x14ac:dyDescent="0.25">
      <c r="A3" s="7"/>
      <c r="B3" s="7"/>
      <c r="C3" s="7"/>
      <c r="D3" s="7"/>
      <c r="E3" s="8" t="s">
        <v>22</v>
      </c>
      <c r="F3" s="8"/>
      <c r="G3" s="8"/>
      <c r="H3" s="8"/>
      <c r="I3" s="8" t="s">
        <v>38</v>
      </c>
      <c r="J3" s="8"/>
      <c r="K3" s="8"/>
      <c r="L3" s="8"/>
      <c r="M3" s="8" t="s">
        <v>71</v>
      </c>
      <c r="N3" s="8"/>
      <c r="O3" s="8"/>
      <c r="P3" s="8"/>
      <c r="Q3" s="8" t="s">
        <v>88</v>
      </c>
      <c r="R3" s="8"/>
      <c r="S3" s="8"/>
      <c r="T3" s="8"/>
    </row>
    <row r="4" spans="1:21" x14ac:dyDescent="0.25">
      <c r="A4" t="s">
        <v>15</v>
      </c>
      <c r="B4" t="s">
        <v>26</v>
      </c>
      <c r="C4" t="s">
        <v>17</v>
      </c>
      <c r="D4" t="s">
        <v>102</v>
      </c>
      <c r="E4" t="s">
        <v>15</v>
      </c>
      <c r="F4" t="s">
        <v>26</v>
      </c>
      <c r="G4" t="s">
        <v>17</v>
      </c>
      <c r="H4" t="s">
        <v>102</v>
      </c>
      <c r="I4" s="2" t="s">
        <v>14</v>
      </c>
      <c r="J4" s="2" t="s">
        <v>25</v>
      </c>
      <c r="K4" s="2" t="s">
        <v>16</v>
      </c>
      <c r="L4" t="s">
        <v>102</v>
      </c>
      <c r="M4" t="s">
        <v>15</v>
      </c>
      <c r="N4" t="s">
        <v>26</v>
      </c>
      <c r="O4" t="s">
        <v>17</v>
      </c>
      <c r="P4" t="s">
        <v>102</v>
      </c>
      <c r="Q4" t="s">
        <v>15</v>
      </c>
      <c r="R4" t="s">
        <v>26</v>
      </c>
      <c r="S4" t="s">
        <v>17</v>
      </c>
      <c r="T4" t="s">
        <v>102</v>
      </c>
    </row>
    <row r="5" spans="1:21" x14ac:dyDescent="0.25">
      <c r="A5" s="3" t="s">
        <v>0</v>
      </c>
      <c r="B5" s="7" t="s">
        <v>27</v>
      </c>
      <c r="C5">
        <v>733.14541434204364</v>
      </c>
      <c r="D5" s="1" t="s">
        <v>101</v>
      </c>
      <c r="E5" s="3" t="s">
        <v>18</v>
      </c>
      <c r="F5" s="7" t="s">
        <v>32</v>
      </c>
      <c r="G5">
        <v>-10.373972981829949</v>
      </c>
      <c r="H5" s="1" t="s">
        <v>101</v>
      </c>
      <c r="I5" t="s">
        <v>39</v>
      </c>
      <c r="J5" s="7" t="s">
        <v>53</v>
      </c>
      <c r="L5" s="1"/>
      <c r="M5" s="3" t="s">
        <v>73</v>
      </c>
      <c r="N5" s="7" t="s">
        <v>85</v>
      </c>
      <c r="O5">
        <v>-41.44</v>
      </c>
      <c r="P5" s="1" t="s">
        <v>120</v>
      </c>
      <c r="Q5" s="3" t="s">
        <v>91</v>
      </c>
      <c r="R5" s="7" t="s">
        <v>93</v>
      </c>
      <c r="S5">
        <v>0</v>
      </c>
      <c r="T5" s="1" t="s">
        <v>0</v>
      </c>
      <c r="U5">
        <v>0.2</v>
      </c>
    </row>
    <row r="6" spans="1:21" x14ac:dyDescent="0.25">
      <c r="A6" s="3" t="s">
        <v>1</v>
      </c>
      <c r="B6" s="7"/>
      <c r="C6">
        <v>9.8010000000000002</v>
      </c>
      <c r="D6" s="1" t="s">
        <v>105</v>
      </c>
      <c r="E6" t="s">
        <v>19</v>
      </c>
      <c r="F6" s="7"/>
      <c r="H6" s="1"/>
      <c r="I6" t="s">
        <v>40</v>
      </c>
      <c r="J6" s="7"/>
      <c r="L6" s="1"/>
      <c r="M6" s="3" t="s">
        <v>74</v>
      </c>
      <c r="N6" s="7"/>
      <c r="O6">
        <v>-37.259964507835804</v>
      </c>
      <c r="P6" s="1" t="s">
        <v>121</v>
      </c>
      <c r="Q6" s="3" t="s">
        <v>89</v>
      </c>
      <c r="R6" s="7"/>
      <c r="S6">
        <v>1.5</v>
      </c>
      <c r="T6" s="1" t="s">
        <v>0</v>
      </c>
    </row>
    <row r="7" spans="1:21" x14ac:dyDescent="0.25">
      <c r="A7" s="3" t="s">
        <v>4</v>
      </c>
      <c r="B7" s="7" t="s">
        <v>28</v>
      </c>
      <c r="C7">
        <v>0</v>
      </c>
      <c r="D7" s="1" t="s">
        <v>0</v>
      </c>
      <c r="E7" s="3" t="s">
        <v>20</v>
      </c>
      <c r="F7" s="7"/>
      <c r="G7">
        <v>-481.6</v>
      </c>
      <c r="H7" s="1" t="s">
        <v>101</v>
      </c>
      <c r="I7" s="3" t="s">
        <v>41</v>
      </c>
      <c r="J7" s="7"/>
      <c r="K7">
        <v>-6</v>
      </c>
      <c r="L7" s="1" t="s">
        <v>114</v>
      </c>
      <c r="M7" s="3" t="s">
        <v>75</v>
      </c>
      <c r="N7" s="7"/>
      <c r="O7">
        <v>34.30103969798612</v>
      </c>
      <c r="P7" s="1" t="s">
        <v>122</v>
      </c>
      <c r="Q7" s="3" t="s">
        <v>92</v>
      </c>
      <c r="R7" s="7" t="s">
        <v>94</v>
      </c>
      <c r="S7">
        <v>0</v>
      </c>
      <c r="T7" s="1" t="s">
        <v>0</v>
      </c>
      <c r="U7">
        <v>0.2</v>
      </c>
    </row>
    <row r="8" spans="1:21" x14ac:dyDescent="0.25">
      <c r="A8" s="3" t="s">
        <v>5</v>
      </c>
      <c r="B8" s="7"/>
      <c r="C8">
        <v>0</v>
      </c>
      <c r="D8" s="1" t="s">
        <v>0</v>
      </c>
      <c r="E8" t="s">
        <v>23</v>
      </c>
      <c r="F8" s="7"/>
      <c r="H8" s="1"/>
      <c r="I8" t="s">
        <v>42</v>
      </c>
      <c r="J8" s="7"/>
      <c r="L8" s="1"/>
      <c r="M8" s="3" t="s">
        <v>76</v>
      </c>
      <c r="N8" s="7"/>
      <c r="O8">
        <v>-68.60207939597224</v>
      </c>
      <c r="P8" s="1" t="s">
        <v>122</v>
      </c>
      <c r="Q8" s="3" t="s">
        <v>90</v>
      </c>
      <c r="R8" s="7"/>
      <c r="S8">
        <v>-1.5</v>
      </c>
      <c r="T8" s="1" t="s">
        <v>0</v>
      </c>
    </row>
    <row r="9" spans="1:21" x14ac:dyDescent="0.25">
      <c r="A9" s="3" t="s">
        <v>6</v>
      </c>
      <c r="B9" s="7"/>
      <c r="C9">
        <v>5.6565656565656597E-2</v>
      </c>
      <c r="D9" s="1" t="s">
        <v>0</v>
      </c>
      <c r="E9" s="3" t="s">
        <v>24</v>
      </c>
      <c r="F9" s="7"/>
      <c r="G9">
        <v>-453.39372809074064</v>
      </c>
      <c r="H9" s="1" t="s">
        <v>111</v>
      </c>
      <c r="I9" s="3" t="s">
        <v>43</v>
      </c>
      <c r="J9" s="7"/>
      <c r="K9">
        <v>-14</v>
      </c>
      <c r="L9" s="1" t="s">
        <v>116</v>
      </c>
      <c r="M9" s="3" t="s">
        <v>84</v>
      </c>
      <c r="N9" s="7" t="s">
        <v>87</v>
      </c>
      <c r="O9">
        <v>4.4735151737309096</v>
      </c>
      <c r="P9" s="1" t="s">
        <v>120</v>
      </c>
    </row>
    <row r="10" spans="1:21" x14ac:dyDescent="0.25">
      <c r="A10" t="s">
        <v>8</v>
      </c>
      <c r="B10" s="7" t="s">
        <v>29</v>
      </c>
      <c r="C10">
        <v>35.437010039714501</v>
      </c>
      <c r="D10" s="1" t="s">
        <v>104</v>
      </c>
      <c r="E10" t="s">
        <v>21</v>
      </c>
      <c r="F10" s="7"/>
      <c r="H10" s="1"/>
      <c r="I10" t="s">
        <v>44</v>
      </c>
      <c r="J10" s="7"/>
      <c r="L10" s="1"/>
      <c r="M10" s="3" t="s">
        <v>86</v>
      </c>
      <c r="N10" s="7"/>
      <c r="O10">
        <v>-2.853954182411317</v>
      </c>
      <c r="P10" s="1" t="s">
        <v>122</v>
      </c>
    </row>
    <row r="11" spans="1:21" x14ac:dyDescent="0.25">
      <c r="A11" s="3" t="s">
        <v>9</v>
      </c>
      <c r="B11" s="7"/>
      <c r="C11">
        <v>690.72138213002847</v>
      </c>
      <c r="D11" s="1" t="s">
        <v>104</v>
      </c>
      <c r="E11" t="s">
        <v>30</v>
      </c>
      <c r="F11" s="7"/>
      <c r="H11" s="1"/>
      <c r="I11" t="s">
        <v>45</v>
      </c>
      <c r="J11" s="7" t="s">
        <v>69</v>
      </c>
      <c r="L11" s="1"/>
    </row>
    <row r="12" spans="1:21" x14ac:dyDescent="0.25">
      <c r="A12" t="s">
        <v>7</v>
      </c>
      <c r="B12" s="7"/>
      <c r="C12">
        <v>690.72138213002847</v>
      </c>
      <c r="D12" s="1" t="s">
        <v>104</v>
      </c>
      <c r="E12" s="3" t="s">
        <v>31</v>
      </c>
      <c r="F12" s="7"/>
      <c r="G12">
        <v>-62.132128830336541</v>
      </c>
      <c r="H12" s="1" t="s">
        <v>112</v>
      </c>
      <c r="I12" t="s">
        <v>46</v>
      </c>
      <c r="J12" s="7"/>
      <c r="L12" s="1"/>
    </row>
    <row r="13" spans="1:21" x14ac:dyDescent="0.25">
      <c r="A13" t="s">
        <v>10</v>
      </c>
      <c r="B13" s="7"/>
      <c r="D13" s="1"/>
      <c r="E13" t="s">
        <v>33</v>
      </c>
      <c r="F13" s="7" t="s">
        <v>37</v>
      </c>
      <c r="H13" s="1"/>
      <c r="I13" s="3" t="s">
        <v>47</v>
      </c>
      <c r="J13" s="7"/>
      <c r="K13">
        <v>-0.3</v>
      </c>
      <c r="L13" s="1" t="s">
        <v>117</v>
      </c>
      <c r="M13" s="3" t="s">
        <v>123</v>
      </c>
      <c r="N13" t="s">
        <v>127</v>
      </c>
      <c r="O13" t="s">
        <v>126</v>
      </c>
    </row>
    <row r="14" spans="1:21" x14ac:dyDescent="0.25">
      <c r="A14" t="s">
        <v>11</v>
      </c>
      <c r="B14" s="7"/>
      <c r="D14" s="1"/>
      <c r="E14" t="s">
        <v>34</v>
      </c>
      <c r="F14" s="7"/>
      <c r="H14" s="1"/>
      <c r="I14" t="s">
        <v>48</v>
      </c>
      <c r="J14" s="7"/>
      <c r="L14" s="1"/>
      <c r="N14" t="s">
        <v>134</v>
      </c>
      <c r="O14" t="s">
        <v>135</v>
      </c>
      <c r="P14" t="s">
        <v>136</v>
      </c>
    </row>
    <row r="15" spans="1:21" x14ac:dyDescent="0.25">
      <c r="A15" t="s">
        <v>12</v>
      </c>
      <c r="B15" s="7"/>
      <c r="D15" s="1"/>
      <c r="E15" t="s">
        <v>35</v>
      </c>
      <c r="F15" s="7"/>
      <c r="H15" s="1"/>
      <c r="I15" t="s">
        <v>49</v>
      </c>
      <c r="J15" s="7"/>
      <c r="L15" s="1"/>
    </row>
    <row r="16" spans="1:21" x14ac:dyDescent="0.25">
      <c r="A16" t="s">
        <v>107</v>
      </c>
      <c r="C16">
        <v>-0.6110000000000001</v>
      </c>
      <c r="D16" s="1" t="s">
        <v>0</v>
      </c>
      <c r="E16" t="s">
        <v>36</v>
      </c>
      <c r="F16" s="7"/>
      <c r="H16" s="1"/>
      <c r="I16" s="3" t="s">
        <v>50</v>
      </c>
      <c r="J16" s="7"/>
      <c r="K16">
        <v>0.56000000000000005</v>
      </c>
      <c r="L16" s="1"/>
    </row>
    <row r="17" spans="1:12" x14ac:dyDescent="0.25">
      <c r="A17" t="s">
        <v>108</v>
      </c>
      <c r="C17">
        <v>0</v>
      </c>
      <c r="D17" s="1" t="s">
        <v>0</v>
      </c>
      <c r="E17" s="3" t="s">
        <v>106</v>
      </c>
      <c r="G17">
        <v>-62.132128830336541</v>
      </c>
      <c r="H17" s="1" t="s">
        <v>113</v>
      </c>
      <c r="I17" t="s">
        <v>51</v>
      </c>
      <c r="J17" s="7"/>
      <c r="L17" s="1"/>
    </row>
    <row r="18" spans="1:12" x14ac:dyDescent="0.25">
      <c r="A18" t="s">
        <v>109</v>
      </c>
      <c r="C18">
        <v>0</v>
      </c>
      <c r="D18" s="1" t="s">
        <v>0</v>
      </c>
      <c r="I18" t="s">
        <v>52</v>
      </c>
      <c r="J18" s="7"/>
      <c r="L18" s="1"/>
    </row>
    <row r="19" spans="1:12" x14ac:dyDescent="0.25">
      <c r="I19" t="s">
        <v>54</v>
      </c>
      <c r="J19" s="7" t="s">
        <v>60</v>
      </c>
      <c r="L19" s="1"/>
    </row>
    <row r="20" spans="1:12" x14ac:dyDescent="0.25">
      <c r="I20" t="s">
        <v>55</v>
      </c>
      <c r="J20" s="7"/>
      <c r="L20" s="1"/>
    </row>
    <row r="21" spans="1:12" x14ac:dyDescent="0.25">
      <c r="I21" s="3" t="s">
        <v>56</v>
      </c>
      <c r="J21" s="7"/>
      <c r="K21">
        <v>-396</v>
      </c>
      <c r="L21" s="1" t="s">
        <v>110</v>
      </c>
    </row>
    <row r="22" spans="1:12" x14ac:dyDescent="0.25">
      <c r="I22" t="s">
        <v>57</v>
      </c>
      <c r="J22" s="7"/>
      <c r="L22" s="1"/>
    </row>
    <row r="23" spans="1:12" x14ac:dyDescent="0.25">
      <c r="I23" s="3" t="s">
        <v>58</v>
      </c>
      <c r="J23" s="7"/>
      <c r="K23">
        <v>-859.34037787970533</v>
      </c>
      <c r="L23" s="1" t="s">
        <v>118</v>
      </c>
    </row>
    <row r="24" spans="1:12" x14ac:dyDescent="0.25">
      <c r="I24" t="s">
        <v>59</v>
      </c>
      <c r="J24" s="7"/>
      <c r="L24" s="1"/>
    </row>
    <row r="25" spans="1:12" x14ac:dyDescent="0.25">
      <c r="I25" t="s">
        <v>61</v>
      </c>
      <c r="J25" s="7" t="s">
        <v>70</v>
      </c>
      <c r="L25" s="1"/>
    </row>
    <row r="26" spans="1:12" x14ac:dyDescent="0.25">
      <c r="I26" t="s">
        <v>62</v>
      </c>
      <c r="J26" s="7"/>
      <c r="L26" s="1"/>
    </row>
    <row r="27" spans="1:12" x14ac:dyDescent="0.25">
      <c r="A27" t="s">
        <v>144</v>
      </c>
      <c r="I27" t="s">
        <v>63</v>
      </c>
      <c r="J27" s="7"/>
      <c r="L27" s="1"/>
    </row>
    <row r="28" spans="1:12" x14ac:dyDescent="0.25">
      <c r="I28" s="3" t="s">
        <v>64</v>
      </c>
      <c r="J28" s="7"/>
      <c r="K28">
        <v>-20.045857730970312</v>
      </c>
      <c r="L28" s="1" t="s">
        <v>119</v>
      </c>
    </row>
    <row r="29" spans="1:12" x14ac:dyDescent="0.25">
      <c r="I29" s="3" t="s">
        <v>65</v>
      </c>
      <c r="J29" s="7"/>
      <c r="K29">
        <v>34.912294712063698</v>
      </c>
      <c r="L29" s="1" t="s">
        <v>101</v>
      </c>
    </row>
    <row r="30" spans="1:12" x14ac:dyDescent="0.25">
      <c r="I30" t="s">
        <v>66</v>
      </c>
      <c r="J30" s="7"/>
      <c r="L30" s="1"/>
    </row>
    <row r="31" spans="1:12" x14ac:dyDescent="0.25">
      <c r="I31" t="s">
        <v>67</v>
      </c>
      <c r="J31" s="7"/>
      <c r="L31" s="1"/>
    </row>
    <row r="32" spans="1:12" x14ac:dyDescent="0.25">
      <c r="I32" t="s">
        <v>68</v>
      </c>
      <c r="J32" s="7"/>
      <c r="L32" s="1"/>
    </row>
  </sheetData>
  <mergeCells count="19">
    <mergeCell ref="J19:J24"/>
    <mergeCell ref="J25:J32"/>
    <mergeCell ref="B5:B6"/>
    <mergeCell ref="F5:F12"/>
    <mergeCell ref="J5:J10"/>
    <mergeCell ref="N5:N8"/>
    <mergeCell ref="R5:R6"/>
    <mergeCell ref="B7:B9"/>
    <mergeCell ref="R7:R8"/>
    <mergeCell ref="N9:N10"/>
    <mergeCell ref="B10:B15"/>
    <mergeCell ref="J11:J18"/>
    <mergeCell ref="F13:F16"/>
    <mergeCell ref="Q3:T3"/>
    <mergeCell ref="A2:D3"/>
    <mergeCell ref="E2:L2"/>
    <mergeCell ref="E3:H3"/>
    <mergeCell ref="I3:L3"/>
    <mergeCell ref="M3:P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REMUS&amp;Taipan</vt:lpstr>
      <vt:lpstr>REMUS放缩系数</vt:lpstr>
      <vt:lpstr>目标模型参数表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Astber Andy</dc:creator>
  <cp:lastModifiedBy>Astber Andy</cp:lastModifiedBy>
  <dcterms:created xsi:type="dcterms:W3CDTF">2015-06-05T18:19:34Z</dcterms:created>
  <dcterms:modified xsi:type="dcterms:W3CDTF">2023-10-04T14:47:03Z</dcterms:modified>
</cp:coreProperties>
</file>