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work_24\download\"/>
    </mc:Choice>
  </mc:AlternateContent>
  <bookViews>
    <workbookView xWindow="0" yWindow="0" windowWidth="20490" windowHeight="9045" tabRatio="901"/>
  </bookViews>
  <sheets>
    <sheet name="Орг. структура FBC" sheetId="44" r:id="rId1"/>
    <sheet name="P&amp;L Monthly" sheetId="14" r:id="rId2"/>
    <sheet name="P&amp;L monthly coeff" sheetId="15" state="hidden" r:id="rId3"/>
    <sheet name="Модель" sheetId="25" state="hidden" r:id="rId4"/>
    <sheet name="Модель УДИ" sheetId="26" state="hidden" r:id="rId5"/>
    <sheet name="Модель УДИ All (2)" sheetId="33" state="hidden" r:id="rId6"/>
    <sheet name="All (2)" sheetId="32" state="hidden" r:id="rId7"/>
    <sheet name="Fact 2011- 2013 Plan 2014" sheetId="17" state="hidden" r:id="rId8"/>
    <sheet name="Модель УДИ (2)" sheetId="27" state="hidden" r:id="rId9"/>
    <sheet name="проект" sheetId="48" state="hidden" r:id="rId10"/>
    <sheet name="ИП2 (2)" sheetId="53" state="hidden" r:id="rId11"/>
    <sheet name="Marketing Investment (2)" sheetId="52" state="hidden" r:id="rId12"/>
    <sheet name="ИП трад и СК метод" sheetId="51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6" hidden="1">'All (2)'!$A$1:$Y$1653</definedName>
    <definedName name="ddd">[1]ЦФО!$A$4:$A$37</definedName>
    <definedName name="Excel_BuiltIn__FilterDatabase_4" localSheetId="6">'[2]12_'!#REF!</definedName>
    <definedName name="Excel_BuiltIn__FilterDatabase_4" localSheetId="7">'[2]12_'!#REF!</definedName>
    <definedName name="Excel_BuiltIn__FilterDatabase_4" localSheetId="11">'[2]12_'!#REF!</definedName>
    <definedName name="Excel_BuiltIn__FilterDatabase_4" localSheetId="1">'[2]12_'!#REF!</definedName>
    <definedName name="Excel_BuiltIn__FilterDatabase_4" localSheetId="2">'[2]12_'!#REF!</definedName>
    <definedName name="Excel_BuiltIn__FilterDatabase_4" localSheetId="10">'[2]12_'!#REF!</definedName>
    <definedName name="Excel_BuiltIn__FilterDatabase_4" localSheetId="4">'[2]12_'!#REF!</definedName>
    <definedName name="Excel_BuiltIn__FilterDatabase_4" localSheetId="8">'[2]12_'!#REF!</definedName>
    <definedName name="Excel_BuiltIn__FilterDatabase_4" localSheetId="5">'[2]12_'!#REF!</definedName>
    <definedName name="Excel_BuiltIn__FilterDatabase_4">'[2]12_'!#REF!</definedName>
    <definedName name="Excel_BuiltIn_Print_Area_2" localSheetId="6">#REF!</definedName>
    <definedName name="Excel_BuiltIn_Print_Area_2" localSheetId="7">#REF!</definedName>
    <definedName name="Excel_BuiltIn_Print_Area_2" localSheetId="11">#REF!</definedName>
    <definedName name="Excel_BuiltIn_Print_Area_2" localSheetId="1">#REF!</definedName>
    <definedName name="Excel_BuiltIn_Print_Area_2" localSheetId="2">#REF!</definedName>
    <definedName name="Excel_BuiltIn_Print_Area_2" localSheetId="10">#REF!</definedName>
    <definedName name="Excel_BuiltIn_Print_Area_2" localSheetId="4">#REF!</definedName>
    <definedName name="Excel_BuiltIn_Print_Area_2" localSheetId="8">#REF!</definedName>
    <definedName name="Excel_BuiltIn_Print_Area_2" localSheetId="5">#REF!</definedName>
    <definedName name="Excel_BuiltIn_Print_Area_2">#REF!</definedName>
    <definedName name="Excel_BuiltIn_Print_Area_9" localSheetId="6">'[3]заг.план продаж'!#REF!</definedName>
    <definedName name="Excel_BuiltIn_Print_Area_9" localSheetId="7">'[4]заг.план продаж'!#REF!</definedName>
    <definedName name="Excel_BuiltIn_Print_Area_9" localSheetId="11">'[3]заг.план продаж'!#REF!</definedName>
    <definedName name="Excel_BuiltIn_Print_Area_9" localSheetId="1">'[3]заг.план продаж'!#REF!</definedName>
    <definedName name="Excel_BuiltIn_Print_Area_9" localSheetId="2">'[3]заг.план продаж'!#REF!</definedName>
    <definedName name="Excel_BuiltIn_Print_Area_9" localSheetId="10">'[3]заг.план продаж'!#REF!</definedName>
    <definedName name="Excel_BuiltIn_Print_Area_9" localSheetId="4">'[3]заг.план продаж'!#REF!</definedName>
    <definedName name="Excel_BuiltIn_Print_Area_9" localSheetId="8">'[3]заг.план продаж'!#REF!</definedName>
    <definedName name="Excel_BuiltIn_Print_Area_9" localSheetId="5">'[3]заг.план продаж'!#REF!</definedName>
    <definedName name="Excel_BuiltIn_Print_Area_9">'[3]заг.план продаж'!#REF!</definedName>
    <definedName name="Exel_BuiltIn_3" localSheetId="6">#REF!</definedName>
    <definedName name="Exel_BuiltIn_3" localSheetId="7">#REF!</definedName>
    <definedName name="Exel_BuiltIn_3" localSheetId="11">#REF!</definedName>
    <definedName name="Exel_BuiltIn_3" localSheetId="10">#REF!</definedName>
    <definedName name="Exel_BuiltIn_3" localSheetId="4">#REF!</definedName>
    <definedName name="Exel_BuiltIn_3" localSheetId="8">#REF!</definedName>
    <definedName name="Exel_BuiltIn_3" localSheetId="5">#REF!</definedName>
    <definedName name="Exel_BuiltIn_3">#REF!</definedName>
    <definedName name="q" localSheetId="3">'[5]Выполнение бюджета прибыли'!$A$3</definedName>
    <definedName name="q" localSheetId="4">'[5]Выполнение бюджета прибыли'!$A$3</definedName>
    <definedName name="q" localSheetId="8">'[5]Выполнение бюджета прибыли'!$A$3</definedName>
    <definedName name="q">'[5]Выполнение бюджета прибыли'!$A$3</definedName>
    <definedName name="q_10">"'file://finance/finance/2005/10-%d0%9e%d0%9a%d0%a2%d0%af%d0%91%d0%a0%d0%ac%202005/%d0%9e%d1%82%d1%87%d0%b5%d1%82%d0%bd%d0%be%d1%81%d1%82%d1%8c_%d0%9e%d0%9a%d0%a2%d0%af%d0%91%d0%a0%d0%ac/%d0%9e%d1%82%d1%87%d0%b5%d1%82%d0%bd%d0%be%d1%81%d1%82%d1%8c_%d0%be%d"</definedName>
    <definedName name="q_5">"'file://finance/finance/2005/10-%d0%9e%d0%9a%d0%a2%d0%af%d0%91%d0%a0%d0%ac%202005/%d0%9e%d1%82%d1%87%d0%b5%d1%82%d0%bd%d0%be%d1%81%d1%82%d1%8c_%d0%9e%d0%9a%d0%a2%d0%af%d0%91%d0%a0%d0%ac/%d0%9e%d1%82%d1%87%d0%b5%d1%82%d0%bd%d0%be%d1%81%d1%82%d1%8c_%d0%be%d"</definedName>
    <definedName name="q_8">"'file://finance/finance/2005/10-%d0%9e%d0%9a%d0%a2%d0%af%d0%91%d0%a0%d0%ac%202005/%d0%9e%d1%82%d1%87%d0%b5%d1%82%d0%bd%d0%be%d1%81%d1%82%d1%8c_%d0%9e%d0%9a%d0%a2%d0%af%d0%91%d0%a0%d0%ac/%d0%9e%d1%82%d1%87%d0%b5%d1%82%d0%bd%d0%be%d1%81%d1%82%d1%8c_%d0%be%d"</definedName>
    <definedName name="q_9">"'file://finance/finance/2005/10-%d0%9e%d0%9a%d0%a2%d0%af%d0%91%d0%a0%d0%ac%202005/%d0%9e%d1%82%d1%87%d0%b5%d1%82%d0%bd%d0%be%d1%81%d1%82%d1%8c_%d0%9e%d0%9a%d0%a2%d0%af%d0%91%d0%a0%d0%ac/%d0%9e%d1%82%d1%87%d0%b5%d1%82%d0%bd%d0%be%d1%81%d1%82%d1%8c_%d0%be%d"</definedName>
    <definedName name="sfdesfd" localSheetId="6">#REF!</definedName>
    <definedName name="sfdesfd" localSheetId="7">#REF!</definedName>
    <definedName name="sfdesfd" localSheetId="11">#REF!</definedName>
    <definedName name="sfdesfd" localSheetId="10">#REF!</definedName>
    <definedName name="sfdesfd" localSheetId="4">#REF!</definedName>
    <definedName name="sfdesfd" localSheetId="8">#REF!</definedName>
    <definedName name="sfdesfd" localSheetId="5">#REF!</definedName>
    <definedName name="sfdesfd">#REF!</definedName>
    <definedName name="амв">[1]ЦФО!$A$4:$A$37</definedName>
    <definedName name="амп" localSheetId="6">#REF!</definedName>
    <definedName name="амп" localSheetId="7">#REF!</definedName>
    <definedName name="амп" localSheetId="11">#REF!</definedName>
    <definedName name="амп" localSheetId="10">#REF!</definedName>
    <definedName name="амп" localSheetId="4">#REF!</definedName>
    <definedName name="амп" localSheetId="8">#REF!</definedName>
    <definedName name="амп" localSheetId="5">#REF!</definedName>
    <definedName name="амп">#REF!</definedName>
    <definedName name="берд">[1]ЦФО!$A$4:$A$37</definedName>
    <definedName name="ва" localSheetId="6">#REF!</definedName>
    <definedName name="ва" localSheetId="7">#REF!</definedName>
    <definedName name="ва" localSheetId="11">#REF!</definedName>
    <definedName name="ва" localSheetId="1">#REF!</definedName>
    <definedName name="ва" localSheetId="2">#REF!</definedName>
    <definedName name="ва" localSheetId="10">#REF!</definedName>
    <definedName name="ва" localSheetId="4">#REF!</definedName>
    <definedName name="ва" localSheetId="8">#REF!</definedName>
    <definedName name="ва" localSheetId="5">#REF!</definedName>
    <definedName name="ва">#REF!</definedName>
    <definedName name="вавы" localSheetId="6">#REF!</definedName>
    <definedName name="вавы" localSheetId="7">#REF!</definedName>
    <definedName name="вавы" localSheetId="11">#REF!</definedName>
    <definedName name="вавы" localSheetId="10">#REF!</definedName>
    <definedName name="вавы" localSheetId="4">#REF!</definedName>
    <definedName name="вавы" localSheetId="8">#REF!</definedName>
    <definedName name="вавы" localSheetId="5">#REF!</definedName>
    <definedName name="вавы">#REF!</definedName>
    <definedName name="Выплата_инвест" localSheetId="6">#REF!</definedName>
    <definedName name="Выплата_инвест" localSheetId="7">#REF!</definedName>
    <definedName name="Выплата_инвест" localSheetId="11">#REF!</definedName>
    <definedName name="Выплата_инвест" localSheetId="1">#REF!</definedName>
    <definedName name="Выплата_инвест" localSheetId="2">#REF!</definedName>
    <definedName name="Выплата_инвест" localSheetId="10">#REF!</definedName>
    <definedName name="Выплата_инвест" localSheetId="4">#REF!</definedName>
    <definedName name="Выплата_инвест" localSheetId="8">#REF!</definedName>
    <definedName name="Выплата_инвест" localSheetId="5">#REF!</definedName>
    <definedName name="Выплата_инвест">#REF!</definedName>
    <definedName name="ген" localSheetId="6">#REF!</definedName>
    <definedName name="ген" localSheetId="7">#REF!</definedName>
    <definedName name="ген" localSheetId="11">#REF!</definedName>
    <definedName name="ген" localSheetId="1">#REF!</definedName>
    <definedName name="ген" localSheetId="2">#REF!</definedName>
    <definedName name="ген" localSheetId="10">#REF!</definedName>
    <definedName name="ген" localSheetId="4">#REF!</definedName>
    <definedName name="ген" localSheetId="8">#REF!</definedName>
    <definedName name="ген" localSheetId="5">#REF!</definedName>
    <definedName name="ген">#REF!</definedName>
    <definedName name="гена" localSheetId="6">#REF!</definedName>
    <definedName name="гена" localSheetId="7">#REF!</definedName>
    <definedName name="гена" localSheetId="11">#REF!</definedName>
    <definedName name="гена" localSheetId="10">#REF!</definedName>
    <definedName name="гена" localSheetId="4">#REF!</definedName>
    <definedName name="гена" localSheetId="8">#REF!</definedName>
    <definedName name="гена" localSheetId="5">#REF!</definedName>
    <definedName name="гена">#REF!</definedName>
    <definedName name="дистрибуция" localSheetId="6">#REF!</definedName>
    <definedName name="дистрибуция" localSheetId="7">#REF!</definedName>
    <definedName name="дистрибуция" localSheetId="11">#REF!</definedName>
    <definedName name="дистрибуция" localSheetId="1">#REF!</definedName>
    <definedName name="дистрибуция" localSheetId="2">#REF!</definedName>
    <definedName name="дистрибуция" localSheetId="10">#REF!</definedName>
    <definedName name="дистрибуция" localSheetId="4">#REF!</definedName>
    <definedName name="дистрибуция" localSheetId="8">#REF!</definedName>
    <definedName name="дистрибуция" localSheetId="5">#REF!</definedName>
    <definedName name="дистрибуция">#REF!</definedName>
    <definedName name="е">[1]ЦФО!$A$4:$A$37</definedName>
    <definedName name="ееееееееее">[1]ЦФО!$A$4:$A$37</definedName>
    <definedName name="з" localSheetId="3">'[6]Выполнение бюджета прибыли'!$A$3</definedName>
    <definedName name="з" localSheetId="4">'[6]Выполнение бюджета прибыли'!$A$3</definedName>
    <definedName name="з" localSheetId="8">'[6]Выполнение бюджета прибыли'!$A$3</definedName>
    <definedName name="з">'[6]Выполнение бюджета прибыли'!$A$3</definedName>
    <definedName name="з_10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з_5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з_8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з_9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завод" localSheetId="6">'[3]заг.план продаж'!#REF!</definedName>
    <definedName name="завод" localSheetId="7">'[3]заг.план продаж'!#REF!</definedName>
    <definedName name="завод" localSheetId="11">'[3]заг.план продаж'!#REF!</definedName>
    <definedName name="завод" localSheetId="1">'[3]заг.план продаж'!#REF!</definedName>
    <definedName name="завод" localSheetId="2">'[3]заг.план продаж'!#REF!</definedName>
    <definedName name="завод" localSheetId="10">'[3]заг.план продаж'!#REF!</definedName>
    <definedName name="завод" localSheetId="4">'[3]заг.план продаж'!#REF!</definedName>
    <definedName name="завод" localSheetId="8">'[3]заг.план продаж'!#REF!</definedName>
    <definedName name="завод" localSheetId="5">'[3]заг.план продаж'!#REF!</definedName>
    <definedName name="завод">'[3]заг.план продаж'!#REF!</definedName>
    <definedName name="и" localSheetId="6">#REF!</definedName>
    <definedName name="и" localSheetId="7">#REF!</definedName>
    <definedName name="и" localSheetId="11">#REF!</definedName>
    <definedName name="и" localSheetId="1">#REF!</definedName>
    <definedName name="и" localSheetId="2">#REF!</definedName>
    <definedName name="и" localSheetId="10">#REF!</definedName>
    <definedName name="и" localSheetId="4">#REF!</definedName>
    <definedName name="и" localSheetId="8">#REF!</definedName>
    <definedName name="и" localSheetId="5">#REF!</definedName>
    <definedName name="и">#REF!</definedName>
    <definedName name="инв" localSheetId="6">#REF!</definedName>
    <definedName name="инв" localSheetId="7">#REF!</definedName>
    <definedName name="инв" localSheetId="11">#REF!</definedName>
    <definedName name="инв" localSheetId="10">#REF!</definedName>
    <definedName name="инв" localSheetId="4">#REF!</definedName>
    <definedName name="инв" localSheetId="8">#REF!</definedName>
    <definedName name="инв" localSheetId="5">#REF!</definedName>
    <definedName name="инв">#REF!</definedName>
    <definedName name="кав" localSheetId="6">#REF!</definedName>
    <definedName name="кав" localSheetId="7">#REF!</definedName>
    <definedName name="кав" localSheetId="11">#REF!</definedName>
    <definedName name="кав" localSheetId="10">#REF!</definedName>
    <definedName name="кав" localSheetId="4">#REF!</definedName>
    <definedName name="кав" localSheetId="8">#REF!</definedName>
    <definedName name="кав" localSheetId="5">#REF!</definedName>
    <definedName name="кав">#REF!</definedName>
    <definedName name="кред" localSheetId="3">'[7]Выполнение бюджета прибыли'!$A$3</definedName>
    <definedName name="кред" localSheetId="4">'[7]Выполнение бюджета прибыли'!$A$3</definedName>
    <definedName name="кред" localSheetId="8">'[7]Выполнение бюджета прибыли'!$A$3</definedName>
    <definedName name="кред">'[7]Выполнение бюджета прибыли'!$A$3</definedName>
    <definedName name="кред_10">"'file://finance/finance/2005/06-%d0%98%d0%ae%d0%9d%d0%ac%202005/%d0%9e%d1%82%d1%87%d0%b5%d1%82%d0%bd%d0%be%d1%81%d1%82%d1%8c%20%d0%b8%d1%8e%d0%bd%d1%8c/%d0%9e%d1%82%d1%87%d0%b5%d1%82%d0%bd%d0%be%d1%81%d1%82%d1%8c_%d0%b8%d1%8e%d0%bd%d1%8c.xls'#$'выполнение"</definedName>
    <definedName name="кред_5">"'file://finance/finance/2005/06-%d0%98%d0%ae%d0%9d%d0%ac%202005/%d0%9e%d1%82%d1%87%d0%b5%d1%82%d0%bd%d0%be%d1%81%d1%82%d1%8c%20%d0%b8%d1%8e%d0%bd%d1%8c/%d0%9e%d1%82%d1%87%d0%b5%d1%82%d0%bd%d0%be%d1%81%d1%82%d1%8c_%d0%b8%d1%8e%d0%bd%d1%8c.xls'#$'выполнение"</definedName>
    <definedName name="кред_8">"'file://finance/finance/2005/06-%d0%98%d0%ae%d0%9d%d0%ac%202005/%d0%9e%d1%82%d1%87%d0%b5%d1%82%d0%bd%d0%be%d1%81%d1%82%d1%8c%20%d0%b8%d1%8e%d0%bd%d1%8c/%d0%9e%d1%82%d1%87%d0%b5%d1%82%d0%bd%d0%be%d1%81%d1%82%d1%8c_%d0%b8%d1%8e%d0%bd%d1%8c.xls'#$'выполнение"</definedName>
    <definedName name="кред_9">"'file://finance/finance/2005/06-%d0%98%d0%ae%d0%9d%d0%ac%202005/%d0%9e%d1%82%d1%87%d0%b5%d1%82%d0%bd%d0%be%d1%81%d1%82%d1%8c%20%d0%b8%d1%8e%d0%bd%d1%8c/%d0%9e%d1%82%d1%87%d0%b5%d1%82%d0%bd%d0%be%d1%81%d1%82%d1%8c_%d0%b8%d1%8e%d0%bd%d1%8c.xls'#$'выполнение"</definedName>
    <definedName name="кредиты" localSheetId="3">'[6]Выполнение бюджета прибыли'!$A$3</definedName>
    <definedName name="кредиты" localSheetId="4">'[6]Выполнение бюджета прибыли'!$A$3</definedName>
    <definedName name="кредиты" localSheetId="8">'[6]Выполнение бюджета прибыли'!$A$3</definedName>
    <definedName name="кредиты">'[6]Выполнение бюджета прибыли'!$A$3</definedName>
    <definedName name="кредиты_10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кредиты_5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кредиты_8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кредиты_9">"'file://finance/finance/%d0%9c%d0%90%d0%99%202005/%d0%9e%d1%82%d1%87%d0%b5%d1%82%d0%bd%d0%be%d1%81%d1%82%d1%8c/%d0%9e%d1%82%d1%87%d0%b5%d1%82%d0%bd%d0%be%d1%81%d1%82%d1%8c_%d0%bc%d0%b0%d0%b9.xls'#$'выполнение бюджета прибыли'.$a$3"</definedName>
    <definedName name="МАКС" localSheetId="6">#REF!</definedName>
    <definedName name="МАКС" localSheetId="7">#REF!</definedName>
    <definedName name="МАКС" localSheetId="11">#REF!</definedName>
    <definedName name="МАКС" localSheetId="1">#REF!</definedName>
    <definedName name="МАКС" localSheetId="2">#REF!</definedName>
    <definedName name="МАКС" localSheetId="10">#REF!</definedName>
    <definedName name="МАКС" localSheetId="4">#REF!</definedName>
    <definedName name="МАКС" localSheetId="8">#REF!</definedName>
    <definedName name="МАКС" localSheetId="5">#REF!</definedName>
    <definedName name="МАКС">#REF!</definedName>
    <definedName name="мар">[1]ЦФО!$A$4:$A$37</definedName>
    <definedName name="маркетинг" localSheetId="6">#REF!</definedName>
    <definedName name="маркетинг" localSheetId="7">#REF!</definedName>
    <definedName name="маркетинг" localSheetId="11">#REF!</definedName>
    <definedName name="маркетинг" localSheetId="1">#REF!</definedName>
    <definedName name="маркетинг" localSheetId="2">#REF!</definedName>
    <definedName name="маркетинг" localSheetId="10">#REF!</definedName>
    <definedName name="маркетинг" localSheetId="4">#REF!</definedName>
    <definedName name="маркетинг" localSheetId="8">#REF!</definedName>
    <definedName name="маркетинг" localSheetId="5">#REF!</definedName>
    <definedName name="маркетинг">#REF!</definedName>
    <definedName name="МАРТ_АПРЕЛЬ" localSheetId="6">'[2]12_'!#REF!</definedName>
    <definedName name="МАРТ_АПРЕЛЬ" localSheetId="7">'[2]12_'!#REF!</definedName>
    <definedName name="МАРТ_АПРЕЛЬ" localSheetId="11">'[2]12_'!#REF!</definedName>
    <definedName name="МАРТ_АПРЕЛЬ" localSheetId="1">'[2]12_'!#REF!</definedName>
    <definedName name="МАРТ_АПРЕЛЬ" localSheetId="2">'[2]12_'!#REF!</definedName>
    <definedName name="МАРТ_АПРЕЛЬ" localSheetId="10">'[2]12_'!#REF!</definedName>
    <definedName name="МАРТ_АПРЕЛЬ" localSheetId="4">'[2]12_'!#REF!</definedName>
    <definedName name="МАРТ_АПРЕЛЬ" localSheetId="8">'[2]12_'!#REF!</definedName>
    <definedName name="МАРТ_АПРЕЛЬ" localSheetId="5">'[2]12_'!#REF!</definedName>
    <definedName name="МАРТ_АПРЕЛЬ">'[2]12_'!#REF!</definedName>
    <definedName name="молоко" localSheetId="6">'[3]заг.план продаж'!#REF!</definedName>
    <definedName name="молоко" localSheetId="11">'[3]заг.план продаж'!#REF!</definedName>
    <definedName name="молоко" localSheetId="10">'[3]заг.план продаж'!#REF!</definedName>
    <definedName name="молоко" localSheetId="4">'[3]заг.план продаж'!#REF!</definedName>
    <definedName name="молоко" localSheetId="8">'[3]заг.план продаж'!#REF!</definedName>
    <definedName name="молоко" localSheetId="5">'[3]заг.план продаж'!#REF!</definedName>
    <definedName name="молоко">'[3]заг.план продаж'!#REF!</definedName>
    <definedName name="нов">[1]ЦФО!$A$4:$A$37</definedName>
    <definedName name="погаш02кр" localSheetId="3">'[7]Выполнение бюджета прибыли'!$A$3</definedName>
    <definedName name="погаш02кр" localSheetId="4">'[7]Выполнение бюджета прибыли'!$A$3</definedName>
    <definedName name="погаш02кр" localSheetId="8">'[7]Выполнение бюджета прибыли'!$A$3</definedName>
    <definedName name="погаш02кр">'[7]Выполнение бюджета прибыли'!$A$3</definedName>
    <definedName name="погаш02кр_10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погаш02кр_5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погаш02кр_8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погаш02кр_9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продажи">[1]ЦФО!$A$4:$A$37</definedName>
    <definedName name="пррт" localSheetId="6">'[2]12_'!#REF!</definedName>
    <definedName name="пррт" localSheetId="7">'[2]12_'!#REF!</definedName>
    <definedName name="пррт" localSheetId="11">'[2]12_'!#REF!</definedName>
    <definedName name="пррт" localSheetId="1">'[2]12_'!#REF!</definedName>
    <definedName name="пррт" localSheetId="2">'[2]12_'!#REF!</definedName>
    <definedName name="пррт" localSheetId="10">'[2]12_'!#REF!</definedName>
    <definedName name="пррт" localSheetId="4">'[2]12_'!#REF!</definedName>
    <definedName name="пррт" localSheetId="8">'[2]12_'!#REF!</definedName>
    <definedName name="пррт" localSheetId="5">'[2]12_'!#REF!</definedName>
    <definedName name="пррт">'[2]12_'!#REF!</definedName>
    <definedName name="расх" localSheetId="6">'[2]12_'!#REF!</definedName>
    <definedName name="расх" localSheetId="11">'[2]12_'!#REF!</definedName>
    <definedName name="расх" localSheetId="1">'[2]12_'!#REF!</definedName>
    <definedName name="расх" localSheetId="2">'[2]12_'!#REF!</definedName>
    <definedName name="расх" localSheetId="10">'[2]12_'!#REF!</definedName>
    <definedName name="расх" localSheetId="4">'[2]12_'!#REF!</definedName>
    <definedName name="расх" localSheetId="8">'[2]12_'!#REF!</definedName>
    <definedName name="расх" localSheetId="5">'[2]12_'!#REF!</definedName>
    <definedName name="расх">'[2]12_'!#REF!</definedName>
    <definedName name="рррр" localSheetId="6">#REF!</definedName>
    <definedName name="рррр" localSheetId="7">#REF!</definedName>
    <definedName name="рррр" localSheetId="11">#REF!</definedName>
    <definedName name="рррр" localSheetId="10">#REF!</definedName>
    <definedName name="рррр" localSheetId="4">#REF!</definedName>
    <definedName name="рррр" localSheetId="8">#REF!</definedName>
    <definedName name="рррр" localSheetId="5">#REF!</definedName>
    <definedName name="рррр">#REF!</definedName>
    <definedName name="ув">[1]ЦФО!$A$4:$A$37</definedName>
    <definedName name="ф" localSheetId="6">'[2]12_'!#REF!</definedName>
    <definedName name="ф" localSheetId="7">'[2]12_'!#REF!</definedName>
    <definedName name="ф" localSheetId="11">'[2]12_'!#REF!</definedName>
    <definedName name="ф" localSheetId="1">'[2]12_'!#REF!</definedName>
    <definedName name="ф" localSheetId="2">'[2]12_'!#REF!</definedName>
    <definedName name="ф" localSheetId="10">'[2]12_'!#REF!</definedName>
    <definedName name="ф" localSheetId="4">'[2]12_'!#REF!</definedName>
    <definedName name="ф" localSheetId="8">'[2]12_'!#REF!</definedName>
    <definedName name="ф" localSheetId="5">'[2]12_'!#REF!</definedName>
    <definedName name="ф">'[2]12_'!#REF!</definedName>
    <definedName name="фф" localSheetId="6">'[3]заг.план продаж'!#REF!</definedName>
    <definedName name="фф" localSheetId="11">'[3]заг.план продаж'!#REF!</definedName>
    <definedName name="фф" localSheetId="1">'[3]заг.план продаж'!#REF!</definedName>
    <definedName name="фф" localSheetId="2">'[3]заг.план продаж'!#REF!</definedName>
    <definedName name="фф" localSheetId="10">'[3]заг.план продаж'!#REF!</definedName>
    <definedName name="фф" localSheetId="4">'[3]заг.план продаж'!#REF!</definedName>
    <definedName name="фф" localSheetId="8">'[3]заг.план продаж'!#REF!</definedName>
    <definedName name="фф" localSheetId="5">'[3]заг.план продаж'!#REF!</definedName>
    <definedName name="фф">'[3]заг.план продаж'!#REF!</definedName>
    <definedName name="ЦФ011" localSheetId="6">#REF!</definedName>
    <definedName name="ЦФ011" localSheetId="7">#REF!</definedName>
    <definedName name="ЦФ011" localSheetId="11">#REF!</definedName>
    <definedName name="ЦФ011" localSheetId="1">#REF!</definedName>
    <definedName name="ЦФ011" localSheetId="2">#REF!</definedName>
    <definedName name="ЦФ011" localSheetId="10">#REF!</definedName>
    <definedName name="ЦФ011" localSheetId="4">#REF!</definedName>
    <definedName name="ЦФ011" localSheetId="8">#REF!</definedName>
    <definedName name="ЦФ011" localSheetId="5">#REF!</definedName>
    <definedName name="ЦФ011">#REF!</definedName>
    <definedName name="ЦФО">[1]ЦФО!$A$4:$A$37</definedName>
    <definedName name="ЦФО_11" localSheetId="6">#REF!</definedName>
    <definedName name="ЦФО_11" localSheetId="7">#REF!</definedName>
    <definedName name="ЦФО_11" localSheetId="11">#REF!</definedName>
    <definedName name="ЦФО_11" localSheetId="1">#REF!</definedName>
    <definedName name="ЦФО_11" localSheetId="2">#REF!</definedName>
    <definedName name="ЦФО_11" localSheetId="10">#REF!</definedName>
    <definedName name="ЦФО_11" localSheetId="4">#REF!</definedName>
    <definedName name="ЦФО_11" localSheetId="8">#REF!</definedName>
    <definedName name="ЦФО_11" localSheetId="5">#REF!</definedName>
    <definedName name="ЦФО_11">#REF!</definedName>
    <definedName name="ЦФО_9" localSheetId="6">#REF!</definedName>
    <definedName name="ЦФО_9" localSheetId="7">#REF!</definedName>
    <definedName name="ЦФО_9" localSheetId="11">#REF!</definedName>
    <definedName name="ЦФО_9" localSheetId="1">#REF!</definedName>
    <definedName name="ЦФО_9" localSheetId="2">#REF!</definedName>
    <definedName name="ЦФО_9" localSheetId="10">#REF!</definedName>
    <definedName name="ЦФО_9" localSheetId="4">#REF!</definedName>
    <definedName name="ЦФО_9" localSheetId="8">#REF!</definedName>
    <definedName name="ЦФО_9" localSheetId="5">#REF!</definedName>
    <definedName name="ЦФО_9">#REF!</definedName>
    <definedName name="ЦФО2" localSheetId="6">'[2]12_'!#REF!</definedName>
    <definedName name="ЦФО2" localSheetId="7">'[2]12_'!#REF!</definedName>
    <definedName name="ЦФО2" localSheetId="11">'[2]12_'!#REF!</definedName>
    <definedName name="ЦФО2" localSheetId="10">'[2]12_'!#REF!</definedName>
    <definedName name="ЦФО2" localSheetId="4">'[2]12_'!#REF!</definedName>
    <definedName name="ЦФО2" localSheetId="8">'[2]12_'!#REF!</definedName>
    <definedName name="ЦФО2" localSheetId="5">'[2]12_'!#REF!</definedName>
    <definedName name="ЦФО2">'[2]12_'!#REF!</definedName>
    <definedName name="ывы" localSheetId="6">#REF!</definedName>
    <definedName name="ывы" localSheetId="7">#REF!</definedName>
    <definedName name="ывы" localSheetId="11">#REF!</definedName>
    <definedName name="ывы" localSheetId="10">#REF!</definedName>
    <definedName name="ывы" localSheetId="4">#REF!</definedName>
    <definedName name="ывы" localSheetId="8">#REF!</definedName>
    <definedName name="ывы" localSheetId="5">#REF!</definedName>
    <definedName name="ывы">#REF!</definedName>
    <definedName name="э" localSheetId="3">'[7]Выполнение бюджета прибыли'!$A$3</definedName>
    <definedName name="э" localSheetId="4">'[7]Выполнение бюджета прибыли'!$A$3</definedName>
    <definedName name="э" localSheetId="8">'[7]Выполнение бюджета прибыли'!$A$3</definedName>
    <definedName name="э">'[7]Выполнение бюджета прибыли'!$A$3</definedName>
    <definedName name="э_10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э_5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э_8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э_9">"'file://finans/finance/2005/06-%d0%98%d0%ae%d0%9d%d0%ac%202005/%d0%9e%d1%82%d1%87%d0%b5%d1%82%d0%bd%d0%be%d1%81%d1%82%d1%8c%20%d0%b8%d1%8e%d0%bd%d1%8c/%d0%9e%d1%82%d1%87%d0%b5%d1%82%d0%bd%d0%be%d1%81%d1%82%d1%8c_%d0%b8%d1%8e%d0%bd%d1%8c.xls'#$'выполнение "</definedName>
    <definedName name="экспорт" localSheetId="6">'[3]заг.план продаж'!#REF!</definedName>
    <definedName name="экспорт" localSheetId="7">'[3]заг.план продаж'!#REF!</definedName>
    <definedName name="экспорт" localSheetId="11">'[3]заг.план продаж'!#REF!</definedName>
    <definedName name="экспорт" localSheetId="1">'[3]заг.план продаж'!#REF!</definedName>
    <definedName name="экспорт" localSheetId="2">'[3]заг.план продаж'!#REF!</definedName>
    <definedName name="экспорт" localSheetId="10">'[3]заг.план продаж'!#REF!</definedName>
    <definedName name="экспорт" localSheetId="4">'[3]заг.план продаж'!#REF!</definedName>
    <definedName name="экспорт" localSheetId="8">'[3]заг.план продаж'!#REF!</definedName>
    <definedName name="экспорт" localSheetId="5">'[3]заг.план продаж'!#REF!</definedName>
    <definedName name="экспорт">'[3]заг.план продаж'!#REF!</definedName>
  </definedNames>
  <calcPr calcId="162913"/>
  <pivotCaches>
    <pivotCache cacheId="0" r:id="rId23"/>
  </pivotCaches>
</workbook>
</file>

<file path=xl/calcChain.xml><?xml version="1.0" encoding="utf-8"?>
<calcChain xmlns="http://schemas.openxmlformats.org/spreadsheetml/2006/main">
  <c r="H46" i="53" l="1"/>
  <c r="H67" i="53" s="1"/>
  <c r="G46" i="53"/>
  <c r="G67" i="53" s="1"/>
  <c r="F46" i="53"/>
  <c r="F67" i="53" s="1"/>
  <c r="E46" i="53"/>
  <c r="E67" i="53" s="1"/>
  <c r="D46" i="53"/>
  <c r="D67" i="53" s="1"/>
  <c r="C19" i="53"/>
  <c r="C17" i="53" s="1"/>
  <c r="G47" i="53" s="1"/>
  <c r="G68" i="53" s="1"/>
  <c r="C72" i="52"/>
  <c r="B72" i="52"/>
  <c r="B68" i="52"/>
  <c r="B63" i="52"/>
  <c r="E61" i="52"/>
  <c r="D61" i="52"/>
  <c r="I54" i="52"/>
  <c r="F49" i="52"/>
  <c r="E49" i="52"/>
  <c r="D49" i="52"/>
  <c r="C36" i="52"/>
  <c r="C67" i="52" s="1"/>
  <c r="F31" i="52"/>
  <c r="E31" i="52"/>
  <c r="D31" i="52"/>
  <c r="C31" i="52"/>
  <c r="C61" i="52" s="1"/>
  <c r="C28" i="52"/>
  <c r="F61" i="52"/>
  <c r="I53" i="51"/>
  <c r="H53" i="51"/>
  <c r="G53" i="51"/>
  <c r="F53" i="51"/>
  <c r="E53" i="51"/>
  <c r="D53" i="51"/>
  <c r="B23" i="51"/>
  <c r="B20" i="51"/>
  <c r="I17" i="51"/>
  <c r="H17" i="51"/>
  <c r="G17" i="51"/>
  <c r="F17" i="51"/>
  <c r="E17" i="51"/>
  <c r="D17" i="51"/>
  <c r="H87" i="48"/>
  <c r="G87" i="48"/>
  <c r="F87" i="48"/>
  <c r="E87" i="48"/>
  <c r="D87" i="48"/>
  <c r="D52" i="48"/>
  <c r="B14" i="51" s="1"/>
  <c r="B41" i="51" s="1"/>
  <c r="D51" i="48"/>
  <c r="D9" i="53" s="1"/>
  <c r="E28" i="53" s="1"/>
  <c r="E29" i="48"/>
  <c r="E28" i="48"/>
  <c r="F18" i="48"/>
  <c r="B19" i="51" s="1"/>
  <c r="C17" i="48"/>
  <c r="E27" i="48" s="1"/>
  <c r="F16" i="48"/>
  <c r="D46" i="48" s="1"/>
  <c r="B12" i="48"/>
  <c r="D10" i="48"/>
  <c r="E23" i="48" s="1"/>
  <c r="D8" i="48"/>
  <c r="B8" i="48"/>
  <c r="D13" i="48" s="1"/>
  <c r="D10" i="53" l="1"/>
  <c r="E29" i="53" s="1"/>
  <c r="G5" i="51"/>
  <c r="G7" i="51" s="1"/>
  <c r="G6" i="51" s="1"/>
  <c r="G39" i="51" s="1"/>
  <c r="F5" i="51"/>
  <c r="F38" i="51" s="1"/>
  <c r="C57" i="48"/>
  <c r="F78" i="48" s="1"/>
  <c r="E69" i="48"/>
  <c r="B16" i="51"/>
  <c r="B43" i="51" s="1"/>
  <c r="E70" i="48"/>
  <c r="D36" i="52"/>
  <c r="E36" i="52" s="1"/>
  <c r="F36" i="52" s="1"/>
  <c r="H86" i="48"/>
  <c r="C4" i="53"/>
  <c r="H79" i="53" s="1"/>
  <c r="B5" i="51"/>
  <c r="F23" i="48"/>
  <c r="F29" i="48" s="1"/>
  <c r="C33" i="52"/>
  <c r="D45" i="48"/>
  <c r="D47" i="48"/>
  <c r="C51" i="48" s="1"/>
  <c r="C9" i="53" s="1"/>
  <c r="C28" i="53" s="1"/>
  <c r="C81" i="53" s="1"/>
  <c r="E30" i="48"/>
  <c r="C11" i="52"/>
  <c r="C16" i="53"/>
  <c r="E47" i="53"/>
  <c r="E68" i="53" s="1"/>
  <c r="D47" i="53"/>
  <c r="D68" i="53" s="1"/>
  <c r="H47" i="53"/>
  <c r="H68" i="53" s="1"/>
  <c r="F47" i="53"/>
  <c r="F68" i="53" s="1"/>
  <c r="D28" i="52"/>
  <c r="C58" i="52"/>
  <c r="C69" i="48"/>
  <c r="G38" i="51"/>
  <c r="E24" i="48"/>
  <c r="E22" i="48" s="1"/>
  <c r="E31" i="48"/>
  <c r="F7" i="51"/>
  <c r="F27" i="48"/>
  <c r="B4" i="51"/>
  <c r="H5" i="51"/>
  <c r="I5" i="51"/>
  <c r="D78" i="48" l="1"/>
  <c r="E78" i="48"/>
  <c r="E81" i="48" s="1"/>
  <c r="C88" i="48"/>
  <c r="C52" i="48"/>
  <c r="C10" i="53" s="1"/>
  <c r="B11" i="51"/>
  <c r="H78" i="48"/>
  <c r="H79" i="48" s="1"/>
  <c r="C62" i="48"/>
  <c r="C63" i="48" s="1"/>
  <c r="G78" i="48"/>
  <c r="G79" i="48" s="1"/>
  <c r="H55" i="53"/>
  <c r="C63" i="52"/>
  <c r="D63" i="52" s="1"/>
  <c r="E63" i="52" s="1"/>
  <c r="F63" i="52" s="1"/>
  <c r="D33" i="52"/>
  <c r="E33" i="52" s="1"/>
  <c r="F33" i="52" s="1"/>
  <c r="C48" i="48"/>
  <c r="C3" i="53"/>
  <c r="C82" i="53"/>
  <c r="C83" i="53" s="1"/>
  <c r="C80" i="53"/>
  <c r="D58" i="52"/>
  <c r="E28" i="52"/>
  <c r="D79" i="48"/>
  <c r="D81" i="48" s="1"/>
  <c r="F40" i="51"/>
  <c r="B38" i="51"/>
  <c r="H38" i="51"/>
  <c r="H7" i="51"/>
  <c r="I38" i="51"/>
  <c r="I7" i="51"/>
  <c r="I6" i="51" s="1"/>
  <c r="I39" i="51" s="1"/>
  <c r="F79" i="48"/>
  <c r="F81" i="48" s="1"/>
  <c r="G40" i="51"/>
  <c r="F6" i="51"/>
  <c r="F39" i="51" s="1"/>
  <c r="B6" i="51"/>
  <c r="E18" i="51" s="1"/>
  <c r="F28" i="48"/>
  <c r="F30" i="48" s="1"/>
  <c r="G27" i="48"/>
  <c r="B12" i="51"/>
  <c r="B39" i="51" s="1"/>
  <c r="F80" i="48"/>
  <c r="H80" i="48"/>
  <c r="G80" i="48"/>
  <c r="D80" i="48"/>
  <c r="B21" i="51"/>
  <c r="E80" i="48"/>
  <c r="E79" i="48"/>
  <c r="E32" i="48"/>
  <c r="E33" i="48" s="1"/>
  <c r="F24" i="48"/>
  <c r="C53" i="48" l="1"/>
  <c r="C54" i="48" s="1"/>
  <c r="G81" i="48"/>
  <c r="C43" i="52"/>
  <c r="C45" i="52" s="1"/>
  <c r="D64" i="52" s="1"/>
  <c r="B13" i="51"/>
  <c r="A9" i="51" s="1"/>
  <c r="H81" i="48"/>
  <c r="C70" i="48"/>
  <c r="C71" i="48" s="1"/>
  <c r="D69" i="48" s="1"/>
  <c r="F69" i="48" s="1"/>
  <c r="C29" i="53"/>
  <c r="C36" i="53"/>
  <c r="C39" i="53"/>
  <c r="C11" i="53"/>
  <c r="C56" i="53" s="1"/>
  <c r="C57" i="53" s="1"/>
  <c r="C58" i="53" s="1"/>
  <c r="C59" i="53" s="1"/>
  <c r="C23" i="53"/>
  <c r="F69" i="52"/>
  <c r="B8" i="51"/>
  <c r="G8" i="51" s="1"/>
  <c r="C64" i="48"/>
  <c r="H85" i="48"/>
  <c r="C5" i="53"/>
  <c r="C12" i="53" s="1"/>
  <c r="E58" i="52"/>
  <c r="D53" i="52"/>
  <c r="D51" i="52" s="1"/>
  <c r="G51" i="52" s="1"/>
  <c r="F28" i="52"/>
  <c r="G82" i="48"/>
  <c r="G83" i="48" s="1"/>
  <c r="F82" i="48"/>
  <c r="F83" i="48" s="1"/>
  <c r="D82" i="48"/>
  <c r="D83" i="48" s="1"/>
  <c r="F31" i="48"/>
  <c r="F32" i="48" s="1"/>
  <c r="F33" i="48" s="1"/>
  <c r="F22" i="48"/>
  <c r="G23" i="48" s="1"/>
  <c r="I8" i="51"/>
  <c r="I41" i="51" s="1"/>
  <c r="F8" i="51"/>
  <c r="H82" i="48"/>
  <c r="F32" i="51"/>
  <c r="F49" i="51" s="1"/>
  <c r="E30" i="51"/>
  <c r="E31" i="51" s="1"/>
  <c r="E54" i="51" s="1"/>
  <c r="G32" i="51"/>
  <c r="G49" i="51" s="1"/>
  <c r="F30" i="51"/>
  <c r="E34" i="51"/>
  <c r="H32" i="51"/>
  <c r="H49" i="51" s="1"/>
  <c r="I40" i="51"/>
  <c r="B40" i="51"/>
  <c r="A36" i="51" s="1"/>
  <c r="E82" i="48"/>
  <c r="E83" i="48" s="1"/>
  <c r="D70" i="48"/>
  <c r="H40" i="51"/>
  <c r="E19" i="51"/>
  <c r="E20" i="51"/>
  <c r="H6" i="51"/>
  <c r="H39" i="51" s="1"/>
  <c r="F71" i="48" l="1"/>
  <c r="C13" i="52" s="1"/>
  <c r="F70" i="48"/>
  <c r="H83" i="48"/>
  <c r="H8" i="51"/>
  <c r="H41" i="51" s="1"/>
  <c r="G84" i="48"/>
  <c r="H84" i="48"/>
  <c r="H88" i="48" s="1"/>
  <c r="H89" i="48" s="1"/>
  <c r="D84" i="48"/>
  <c r="F84" i="48"/>
  <c r="F88" i="48" s="1"/>
  <c r="F89" i="48" s="1"/>
  <c r="E84" i="48"/>
  <c r="C30" i="53"/>
  <c r="D29" i="53" s="1"/>
  <c r="H54" i="53"/>
  <c r="H78" i="53"/>
  <c r="C38" i="53"/>
  <c r="D72" i="53" s="1"/>
  <c r="C37" i="53"/>
  <c r="D77" i="53" s="1"/>
  <c r="D39" i="53"/>
  <c r="E39" i="53" s="1"/>
  <c r="F39" i="53" s="1"/>
  <c r="I50" i="51"/>
  <c r="I9" i="51"/>
  <c r="I14" i="51"/>
  <c r="H9" i="51"/>
  <c r="F9" i="51"/>
  <c r="G9" i="51"/>
  <c r="G10" i="51" s="1"/>
  <c r="E88" i="48"/>
  <c r="E89" i="48" s="1"/>
  <c r="G24" i="48"/>
  <c r="D88" i="48"/>
  <c r="G88" i="48"/>
  <c r="G89" i="48" s="1"/>
  <c r="C21" i="53"/>
  <c r="G39" i="53"/>
  <c r="F58" i="52"/>
  <c r="E53" i="52"/>
  <c r="E51" i="52" s="1"/>
  <c r="H51" i="52" s="1"/>
  <c r="E56" i="51"/>
  <c r="E55" i="51"/>
  <c r="F41" i="51"/>
  <c r="F10" i="51"/>
  <c r="B44" i="51"/>
  <c r="G30" i="48"/>
  <c r="C89" i="48"/>
  <c r="C90" i="48" s="1"/>
  <c r="F31" i="51"/>
  <c r="F34" i="51"/>
  <c r="G30" i="51" s="1"/>
  <c r="G41" i="51"/>
  <c r="D89" i="48"/>
  <c r="H10" i="51" l="1"/>
  <c r="C40" i="53"/>
  <c r="D36" i="53" s="1"/>
  <c r="D38" i="53" s="1"/>
  <c r="D37" i="53" s="1"/>
  <c r="E77" i="53" s="1"/>
  <c r="F29" i="53"/>
  <c r="C94" i="48"/>
  <c r="D94" i="48" s="1"/>
  <c r="D49" i="53"/>
  <c r="H49" i="53"/>
  <c r="C20" i="53"/>
  <c r="F49" i="53"/>
  <c r="E49" i="53"/>
  <c r="G49" i="53"/>
  <c r="F42" i="51"/>
  <c r="F48" i="51" s="1"/>
  <c r="F13" i="51"/>
  <c r="C95" i="48"/>
  <c r="D95" i="48" s="1"/>
  <c r="H11" i="51"/>
  <c r="H12" i="51" s="1"/>
  <c r="F43" i="51"/>
  <c r="E72" i="53"/>
  <c r="G13" i="51"/>
  <c r="G42" i="51"/>
  <c r="G48" i="51" s="1"/>
  <c r="I42" i="51"/>
  <c r="I13" i="51"/>
  <c r="I10" i="51"/>
  <c r="D90" i="48"/>
  <c r="E90" i="48" s="1"/>
  <c r="F90" i="48" s="1"/>
  <c r="G90" i="48" s="1"/>
  <c r="C93" i="48" s="1"/>
  <c r="H42" i="51"/>
  <c r="H13" i="51"/>
  <c r="F30" i="53"/>
  <c r="D28" i="53"/>
  <c r="F53" i="52"/>
  <c r="F51" i="52" s="1"/>
  <c r="I51" i="52" s="1"/>
  <c r="F33" i="51"/>
  <c r="F44" i="51"/>
  <c r="G34" i="51"/>
  <c r="H30" i="51" s="1"/>
  <c r="G31" i="51"/>
  <c r="G11" i="51"/>
  <c r="G12" i="51" s="1"/>
  <c r="G15" i="51" s="1"/>
  <c r="G18" i="51" s="1"/>
  <c r="G19" i="51" s="1"/>
  <c r="H90" i="48"/>
  <c r="F11" i="51"/>
  <c r="F12" i="51" s="1"/>
  <c r="H15" i="51" l="1"/>
  <c r="H18" i="51" s="1"/>
  <c r="H19" i="51" s="1"/>
  <c r="F15" i="51"/>
  <c r="F18" i="51" s="1"/>
  <c r="D40" i="53"/>
  <c r="E36" i="53" s="1"/>
  <c r="F45" i="51"/>
  <c r="F46" i="51" s="1"/>
  <c r="F47" i="51" s="1"/>
  <c r="F51" i="51" s="1"/>
  <c r="F54" i="51" s="1"/>
  <c r="G43" i="51"/>
  <c r="H48" i="51"/>
  <c r="H43" i="51"/>
  <c r="I48" i="51"/>
  <c r="I43" i="51"/>
  <c r="I45" i="51" s="1"/>
  <c r="D30" i="53"/>
  <c r="F28" i="53"/>
  <c r="E48" i="53"/>
  <c r="G48" i="53"/>
  <c r="F48" i="53"/>
  <c r="D48" i="53"/>
  <c r="H48" i="53"/>
  <c r="F53" i="53"/>
  <c r="F70" i="53"/>
  <c r="F76" i="53" s="1"/>
  <c r="E53" i="53"/>
  <c r="E70" i="53"/>
  <c r="E76" i="53" s="1"/>
  <c r="D53" i="53"/>
  <c r="D70" i="53"/>
  <c r="D76" i="53" s="1"/>
  <c r="I11" i="51"/>
  <c r="I12" i="51" s="1"/>
  <c r="I15" i="51" s="1"/>
  <c r="I18" i="51" s="1"/>
  <c r="G53" i="53"/>
  <c r="G70" i="53"/>
  <c r="G76" i="53" s="1"/>
  <c r="H53" i="53"/>
  <c r="H70" i="53"/>
  <c r="H76" i="53" s="1"/>
  <c r="E38" i="53"/>
  <c r="F19" i="51"/>
  <c r="F20" i="51" s="1"/>
  <c r="G20" i="51" s="1"/>
  <c r="H20" i="51" s="1"/>
  <c r="H34" i="51"/>
  <c r="H31" i="51"/>
  <c r="G33" i="51"/>
  <c r="G44" i="51"/>
  <c r="G45" i="51" s="1"/>
  <c r="I19" i="51" l="1"/>
  <c r="H24" i="51"/>
  <c r="I24" i="51" s="1"/>
  <c r="G50" i="53"/>
  <c r="G51" i="53" s="1"/>
  <c r="G52" i="53" s="1"/>
  <c r="G57" i="53" s="1"/>
  <c r="G58" i="53" s="1"/>
  <c r="G69" i="53"/>
  <c r="G71" i="53" s="1"/>
  <c r="I46" i="51"/>
  <c r="I47" i="51" s="1"/>
  <c r="I51" i="51" s="1"/>
  <c r="I54" i="51" s="1"/>
  <c r="I55" i="51" s="1"/>
  <c r="E24" i="51"/>
  <c r="F24" i="51" s="1"/>
  <c r="F50" i="53"/>
  <c r="F69" i="53"/>
  <c r="F71" i="53" s="1"/>
  <c r="D69" i="53"/>
  <c r="D71" i="53" s="1"/>
  <c r="D73" i="53" s="1"/>
  <c r="D74" i="53" s="1"/>
  <c r="D75" i="53" s="1"/>
  <c r="D81" i="53" s="1"/>
  <c r="D50" i="53"/>
  <c r="H69" i="53"/>
  <c r="H71" i="53" s="1"/>
  <c r="H50" i="53"/>
  <c r="H51" i="53" s="1"/>
  <c r="H52" i="53" s="1"/>
  <c r="H57" i="53" s="1"/>
  <c r="H58" i="53" s="1"/>
  <c r="E69" i="53"/>
  <c r="E71" i="53" s="1"/>
  <c r="E73" i="53" s="1"/>
  <c r="E50" i="53"/>
  <c r="E51" i="53" s="1"/>
  <c r="E52" i="53" s="1"/>
  <c r="E57" i="53" s="1"/>
  <c r="E58" i="53" s="1"/>
  <c r="E23" i="51"/>
  <c r="F23" i="51" s="1"/>
  <c r="F72" i="53"/>
  <c r="F73" i="53" s="1"/>
  <c r="E37" i="53"/>
  <c r="F55" i="51"/>
  <c r="F56" i="51" s="1"/>
  <c r="I20" i="51"/>
  <c r="E25" i="51"/>
  <c r="H44" i="51"/>
  <c r="H45" i="51" s="1"/>
  <c r="H33" i="51"/>
  <c r="G46" i="51"/>
  <c r="G47" i="51" s="1"/>
  <c r="G51" i="51" s="1"/>
  <c r="G54" i="51" s="1"/>
  <c r="F51" i="53" l="1"/>
  <c r="F52" i="53" s="1"/>
  <c r="F57" i="53" s="1"/>
  <c r="F58" i="53" s="1"/>
  <c r="D51" i="53"/>
  <c r="D52" i="53" s="1"/>
  <c r="D57" i="53" s="1"/>
  <c r="E74" i="53"/>
  <c r="E75" i="53"/>
  <c r="D82" i="53"/>
  <c r="D83" i="53" s="1"/>
  <c r="F74" i="53"/>
  <c r="F75" i="53" s="1"/>
  <c r="F81" i="53" s="1"/>
  <c r="F77" i="53"/>
  <c r="E40" i="53"/>
  <c r="F36" i="53" s="1"/>
  <c r="G55" i="51"/>
  <c r="H46" i="51"/>
  <c r="H47" i="51" s="1"/>
  <c r="H51" i="51" s="1"/>
  <c r="H54" i="51" s="1"/>
  <c r="G56" i="51"/>
  <c r="H55" i="51" l="1"/>
  <c r="E60" i="51"/>
  <c r="F60" i="51" s="1"/>
  <c r="H56" i="51"/>
  <c r="E82" i="53"/>
  <c r="C86" i="53" s="1"/>
  <c r="E81" i="53"/>
  <c r="D58" i="53"/>
  <c r="D59" i="53" s="1"/>
  <c r="E59" i="53" s="1"/>
  <c r="F59" i="53" s="1"/>
  <c r="G59" i="53" s="1"/>
  <c r="C61" i="53"/>
  <c r="C60" i="53"/>
  <c r="F82" i="53"/>
  <c r="F38" i="53"/>
  <c r="I56" i="51"/>
  <c r="E61" i="51"/>
  <c r="E59" i="51"/>
  <c r="F59" i="51" s="1"/>
  <c r="H60" i="51"/>
  <c r="I60" i="51" s="1"/>
  <c r="C62" i="53" l="1"/>
  <c r="H59" i="53"/>
  <c r="E83" i="53"/>
  <c r="F83" i="53" s="1"/>
  <c r="G72" i="53"/>
  <c r="G73" i="53" s="1"/>
  <c r="F37" i="53"/>
  <c r="G74" i="53" l="1"/>
  <c r="G75" i="53" s="1"/>
  <c r="G77" i="53"/>
  <c r="F40" i="53"/>
  <c r="G36" i="53" s="1"/>
  <c r="G81" i="53" l="1"/>
  <c r="G82" i="53"/>
  <c r="G83" i="53" s="1"/>
  <c r="G38" i="53"/>
  <c r="H72" i="53" l="1"/>
  <c r="H73" i="53" s="1"/>
  <c r="G37" i="53"/>
  <c r="H74" i="53" l="1"/>
  <c r="H75" i="53" s="1"/>
  <c r="H77" i="53"/>
  <c r="G40" i="53"/>
  <c r="H81" i="53" l="1"/>
  <c r="C84" i="53" s="1"/>
  <c r="H82" i="53"/>
  <c r="H83" i="53" s="1"/>
  <c r="C85" i="53"/>
  <c r="R74" i="27" l="1"/>
  <c r="Y73" i="27"/>
  <c r="Y74" i="27" s="1"/>
  <c r="B56" i="27"/>
  <c r="B52" i="27"/>
  <c r="H45" i="27"/>
  <c r="A44" i="27"/>
  <c r="T40" i="27"/>
  <c r="S40" i="27"/>
  <c r="D40" i="27"/>
  <c r="A40" i="27"/>
  <c r="A36" i="27"/>
  <c r="A35" i="27"/>
  <c r="B34" i="27"/>
  <c r="A34" i="27"/>
  <c r="P28" i="27"/>
  <c r="P24" i="27"/>
  <c r="P23" i="27"/>
  <c r="U22" i="27"/>
  <c r="P22" i="27"/>
  <c r="D20" i="27"/>
  <c r="B20" i="27"/>
  <c r="U19" i="27"/>
  <c r="E19" i="27"/>
  <c r="U18" i="27"/>
  <c r="T18" i="27"/>
  <c r="S18" i="27"/>
  <c r="U17" i="27"/>
  <c r="H17" i="27"/>
  <c r="U16" i="27"/>
  <c r="F15" i="27"/>
  <c r="S15" i="27" s="1"/>
  <c r="A15" i="27"/>
  <c r="A14" i="27"/>
  <c r="A13" i="27"/>
  <c r="F11" i="27"/>
  <c r="T11" i="27" s="1"/>
  <c r="S11" i="27" s="1"/>
  <c r="A11" i="27"/>
  <c r="U8" i="27"/>
  <c r="E8" i="27"/>
  <c r="C8" i="27"/>
  <c r="U7" i="27"/>
  <c r="D7" i="27"/>
  <c r="U6" i="27"/>
  <c r="D6" i="27"/>
  <c r="B6" i="27"/>
  <c r="B13" i="27" s="1"/>
  <c r="E81" i="17"/>
  <c r="E80" i="17"/>
  <c r="E79" i="17"/>
  <c r="E83" i="17" s="1"/>
  <c r="J75" i="17"/>
  <c r="E75" i="17"/>
  <c r="E76" i="17" s="1"/>
  <c r="J66" i="17"/>
  <c r="H59" i="17"/>
  <c r="E56" i="17"/>
  <c r="D56" i="17"/>
  <c r="E55" i="17"/>
  <c r="G55" i="17" s="1"/>
  <c r="D55" i="17"/>
  <c r="I54" i="17"/>
  <c r="E53" i="17"/>
  <c r="D53" i="17"/>
  <c r="E51" i="17"/>
  <c r="D51" i="17"/>
  <c r="E49" i="17"/>
  <c r="D49" i="17"/>
  <c r="I45" i="17"/>
  <c r="H45" i="17"/>
  <c r="E45" i="17"/>
  <c r="E44" i="17"/>
  <c r="D44" i="17"/>
  <c r="H44" i="17" s="1"/>
  <c r="E43" i="17"/>
  <c r="J43" i="17" s="1"/>
  <c r="I43" i="17" s="1"/>
  <c r="D43" i="17"/>
  <c r="H43" i="17" s="1"/>
  <c r="E42" i="17"/>
  <c r="D42" i="17"/>
  <c r="H42" i="17" s="1"/>
  <c r="E41" i="17"/>
  <c r="D41" i="17"/>
  <c r="E40" i="17"/>
  <c r="J40" i="17" s="1"/>
  <c r="D40" i="17"/>
  <c r="E39" i="17"/>
  <c r="D39" i="17"/>
  <c r="I39" i="17" s="1"/>
  <c r="H39" i="17" s="1"/>
  <c r="E38" i="17"/>
  <c r="J38" i="17" s="1"/>
  <c r="D38" i="17"/>
  <c r="I38" i="17" s="1"/>
  <c r="H38" i="17" s="1"/>
  <c r="G37" i="17"/>
  <c r="E37" i="17"/>
  <c r="D37" i="17"/>
  <c r="E36" i="17"/>
  <c r="G36" i="17" s="1"/>
  <c r="D36" i="17"/>
  <c r="E35" i="17"/>
  <c r="D35" i="17"/>
  <c r="E34" i="17"/>
  <c r="D34" i="17"/>
  <c r="E33" i="17"/>
  <c r="D33" i="17"/>
  <c r="E32" i="17"/>
  <c r="G32" i="17" s="1"/>
  <c r="D32" i="17"/>
  <c r="E31" i="17"/>
  <c r="J31" i="17" s="1"/>
  <c r="D31" i="17"/>
  <c r="E30" i="17"/>
  <c r="J30" i="17" s="1"/>
  <c r="I30" i="17" s="1"/>
  <c r="D30" i="17"/>
  <c r="H30" i="17" s="1"/>
  <c r="E29" i="17"/>
  <c r="D29" i="17"/>
  <c r="E28" i="17"/>
  <c r="D28" i="17"/>
  <c r="E26" i="17"/>
  <c r="D26" i="17"/>
  <c r="E25" i="17"/>
  <c r="J25" i="17" s="1"/>
  <c r="I25" i="17" s="1"/>
  <c r="D25" i="17"/>
  <c r="H25" i="17" s="1"/>
  <c r="E24" i="17"/>
  <c r="D24" i="17"/>
  <c r="E23" i="17"/>
  <c r="D23" i="17"/>
  <c r="E22" i="17"/>
  <c r="D22" i="17"/>
  <c r="B21" i="17"/>
  <c r="F20" i="17"/>
  <c r="E20" i="17"/>
  <c r="D20" i="17"/>
  <c r="H20" i="17" s="1"/>
  <c r="F19" i="17"/>
  <c r="E19" i="17"/>
  <c r="D19" i="17"/>
  <c r="H19" i="17" s="1"/>
  <c r="E18" i="17"/>
  <c r="D18" i="17"/>
  <c r="H18" i="17" s="1"/>
  <c r="G17" i="17"/>
  <c r="D17" i="17"/>
  <c r="B17" i="17"/>
  <c r="D15" i="17"/>
  <c r="B14" i="17"/>
  <c r="E13" i="17"/>
  <c r="M13" i="17" s="1"/>
  <c r="D13" i="17"/>
  <c r="N12" i="17"/>
  <c r="E12" i="17"/>
  <c r="C12" i="17"/>
  <c r="B12" i="17"/>
  <c r="N11" i="17"/>
  <c r="E11" i="17"/>
  <c r="D11" i="17"/>
  <c r="B10" i="17"/>
  <c r="I9" i="17"/>
  <c r="H9" i="17"/>
  <c r="F9" i="17"/>
  <c r="E9" i="17"/>
  <c r="K9" i="17" s="1"/>
  <c r="I8" i="17"/>
  <c r="H8" i="17"/>
  <c r="F8" i="17"/>
  <c r="E8" i="17"/>
  <c r="J8" i="17" s="1"/>
  <c r="N7" i="17"/>
  <c r="F7" i="17"/>
  <c r="D7" i="17"/>
  <c r="D10" i="17" s="1"/>
  <c r="N6" i="17"/>
  <c r="E6" i="17"/>
  <c r="J6" i="17" s="1"/>
  <c r="I1" i="17"/>
  <c r="Y1653" i="32"/>
  <c r="Y1652" i="32"/>
  <c r="Y1651" i="32"/>
  <c r="Y1650" i="32"/>
  <c r="Y1649" i="32"/>
  <c r="Y1648" i="32"/>
  <c r="Y1647" i="32"/>
  <c r="Y1646" i="32"/>
  <c r="Y1645" i="32"/>
  <c r="Y1644" i="32"/>
  <c r="Y1643" i="32"/>
  <c r="Y1642" i="32"/>
  <c r="Y1641" i="32"/>
  <c r="Y1640" i="32"/>
  <c r="Y1639" i="32"/>
  <c r="Y1638" i="32"/>
  <c r="Y1637" i="32"/>
  <c r="Y1636" i="32"/>
  <c r="Y1635" i="32"/>
  <c r="Y1634" i="32"/>
  <c r="Y1633" i="32"/>
  <c r="Y1632" i="32"/>
  <c r="Y1631" i="32"/>
  <c r="Y1630" i="32"/>
  <c r="Y1629" i="32"/>
  <c r="Y1628" i="32"/>
  <c r="Y1627" i="32"/>
  <c r="Y1626" i="32"/>
  <c r="Y1625" i="32"/>
  <c r="Y1624" i="32"/>
  <c r="Y1623" i="32"/>
  <c r="Y1622" i="32"/>
  <c r="Y1621" i="32"/>
  <c r="Y1620" i="32"/>
  <c r="Y1619" i="32"/>
  <c r="Y1618" i="32"/>
  <c r="Y1617" i="32"/>
  <c r="Y1616" i="32"/>
  <c r="Y1615" i="32"/>
  <c r="Y1614" i="32"/>
  <c r="Y1613" i="32"/>
  <c r="Y1612" i="32"/>
  <c r="Y1611" i="32"/>
  <c r="Y1610" i="32"/>
  <c r="Y1609" i="32"/>
  <c r="Y1608" i="32"/>
  <c r="Y1607" i="32"/>
  <c r="Y1606" i="32"/>
  <c r="Y1605" i="32"/>
  <c r="Y1604" i="32"/>
  <c r="Y1603" i="32"/>
  <c r="Y1602" i="32"/>
  <c r="Y1601" i="32"/>
  <c r="Y1600" i="32"/>
  <c r="Y1599" i="32"/>
  <c r="Y1598" i="32"/>
  <c r="Y1597" i="32"/>
  <c r="Y1596" i="32"/>
  <c r="Y1595" i="32"/>
  <c r="Y1594" i="32"/>
  <c r="Y1593" i="32"/>
  <c r="Y1592" i="32"/>
  <c r="Y1591" i="32"/>
  <c r="Y1590" i="32"/>
  <c r="Y1589" i="32"/>
  <c r="Y1588" i="32"/>
  <c r="Y1587" i="32"/>
  <c r="Y1586" i="32"/>
  <c r="Y1585" i="32"/>
  <c r="Y1584" i="32"/>
  <c r="Y1583" i="32"/>
  <c r="Y1582" i="32"/>
  <c r="Y1581" i="32"/>
  <c r="Y1580" i="32"/>
  <c r="Y1579" i="32"/>
  <c r="Y1578" i="32"/>
  <c r="Y1577" i="32"/>
  <c r="Y1576" i="32"/>
  <c r="Y1575" i="32"/>
  <c r="Y1574" i="32"/>
  <c r="Y1573" i="32"/>
  <c r="Y1572" i="32"/>
  <c r="Y1571" i="32"/>
  <c r="Y1570" i="32"/>
  <c r="Y1569" i="32"/>
  <c r="Y1568" i="32"/>
  <c r="Y1567" i="32"/>
  <c r="Y1566" i="32"/>
  <c r="Y1565" i="32"/>
  <c r="Y1564" i="32"/>
  <c r="Y1563" i="32"/>
  <c r="Y1562" i="32"/>
  <c r="Y1561" i="32"/>
  <c r="Y1560" i="32"/>
  <c r="Y1559" i="32"/>
  <c r="Y1558" i="32"/>
  <c r="Y1557" i="32"/>
  <c r="Y1556" i="32"/>
  <c r="Y1555" i="32"/>
  <c r="Y1554" i="32"/>
  <c r="Y1553" i="32"/>
  <c r="Y1552" i="32"/>
  <c r="Y1551" i="32"/>
  <c r="Y1550" i="32"/>
  <c r="Y1549" i="32"/>
  <c r="Y1548" i="32"/>
  <c r="Y1547" i="32"/>
  <c r="Y1546" i="32"/>
  <c r="Y1545" i="32"/>
  <c r="Y1544" i="32"/>
  <c r="Y1543" i="32"/>
  <c r="Y1542" i="32"/>
  <c r="Y1541" i="32"/>
  <c r="Y1540" i="32"/>
  <c r="Y1539" i="32"/>
  <c r="Y1538" i="32"/>
  <c r="Y1537" i="32"/>
  <c r="Y1536" i="32"/>
  <c r="Y1535" i="32"/>
  <c r="Y1534" i="32"/>
  <c r="Y1533" i="32"/>
  <c r="Y1532" i="32"/>
  <c r="Y1531" i="32"/>
  <c r="Y1530" i="32"/>
  <c r="Y1529" i="32"/>
  <c r="Y1528" i="32"/>
  <c r="Y1527" i="32"/>
  <c r="Y1526" i="32"/>
  <c r="Y1525" i="32"/>
  <c r="Y1524" i="32"/>
  <c r="Y1523" i="32"/>
  <c r="Y1522" i="32"/>
  <c r="Y1521" i="32"/>
  <c r="Y1520" i="32"/>
  <c r="Y1519" i="32"/>
  <c r="Y1518" i="32"/>
  <c r="Y1517" i="32"/>
  <c r="Y1516" i="32"/>
  <c r="Y1515" i="32"/>
  <c r="Y1514" i="32"/>
  <c r="Y1513" i="32"/>
  <c r="Y1512" i="32"/>
  <c r="Y1511" i="32"/>
  <c r="Y1510" i="32"/>
  <c r="Y1509" i="32"/>
  <c r="Y1508" i="32"/>
  <c r="Y1507" i="32"/>
  <c r="Y1506" i="32"/>
  <c r="Y1505" i="32"/>
  <c r="Y1504" i="32"/>
  <c r="Y1503" i="32"/>
  <c r="Y1502" i="32"/>
  <c r="Y1501" i="32"/>
  <c r="Y1498" i="32"/>
  <c r="Y1497" i="32"/>
  <c r="Y1496" i="32"/>
  <c r="Y1495" i="32"/>
  <c r="Y1494" i="32"/>
  <c r="Y1493" i="32"/>
  <c r="Y1492" i="32"/>
  <c r="Y1491" i="32"/>
  <c r="Y1490" i="32"/>
  <c r="Y1489" i="32"/>
  <c r="Y1488" i="32"/>
  <c r="Y1487" i="32"/>
  <c r="Y1486" i="32"/>
  <c r="Y1485" i="32"/>
  <c r="Y1484" i="32"/>
  <c r="Y1483" i="32"/>
  <c r="Y1482" i="32"/>
  <c r="Y1481" i="32"/>
  <c r="Y1480" i="32"/>
  <c r="Y1479" i="32"/>
  <c r="Y1478" i="32"/>
  <c r="Y1477" i="32"/>
  <c r="Y1476" i="32"/>
  <c r="Y1475" i="32"/>
  <c r="Y1474" i="32"/>
  <c r="Y1473" i="32"/>
  <c r="Y1472" i="32"/>
  <c r="Y1471" i="32"/>
  <c r="Y1470" i="32"/>
  <c r="Y1469" i="32"/>
  <c r="Y1468" i="32"/>
  <c r="Y1467" i="32"/>
  <c r="Y1466" i="32"/>
  <c r="Y1465" i="32"/>
  <c r="Y1464" i="32"/>
  <c r="Y1463" i="32"/>
  <c r="Y1462" i="32"/>
  <c r="Y1461" i="32"/>
  <c r="Y1460" i="32"/>
  <c r="Y1459" i="32"/>
  <c r="Y1458" i="32"/>
  <c r="Y1457" i="32"/>
  <c r="Y1456" i="32"/>
  <c r="Y1455" i="32"/>
  <c r="Y1454" i="32"/>
  <c r="Y1453" i="32"/>
  <c r="Y1452" i="32"/>
  <c r="Y1451" i="32"/>
  <c r="Y1450" i="32"/>
  <c r="Y1449" i="32"/>
  <c r="Y1448" i="32"/>
  <c r="Y1447" i="32"/>
  <c r="Y1446" i="32"/>
  <c r="Y1445" i="32"/>
  <c r="Y1444" i="32"/>
  <c r="Y1443" i="32"/>
  <c r="Y1442" i="32"/>
  <c r="Y1441" i="32"/>
  <c r="Y1440" i="32"/>
  <c r="Y1439" i="32"/>
  <c r="Y1438" i="32"/>
  <c r="Y1437" i="32"/>
  <c r="Y1436" i="32"/>
  <c r="Y1435" i="32"/>
  <c r="Y1434" i="32"/>
  <c r="Y1433" i="32"/>
  <c r="Y1432" i="32"/>
  <c r="Y1431" i="32"/>
  <c r="Y1430" i="32"/>
  <c r="Y1429" i="32"/>
  <c r="Y1428" i="32"/>
  <c r="Y1427" i="32"/>
  <c r="Y1426" i="32"/>
  <c r="Y1425" i="32"/>
  <c r="Y1424" i="32"/>
  <c r="Y1423" i="32"/>
  <c r="Y1422" i="32"/>
  <c r="Y1421" i="32"/>
  <c r="Y1420" i="32"/>
  <c r="Y1419" i="32"/>
  <c r="Y1418" i="32"/>
  <c r="Y1417" i="32"/>
  <c r="Y1416" i="32"/>
  <c r="Y1415" i="32"/>
  <c r="Y1414" i="32"/>
  <c r="Y1413" i="32"/>
  <c r="Y1412" i="32"/>
  <c r="Y1411" i="32"/>
  <c r="Y1410" i="32"/>
  <c r="Y1409" i="32"/>
  <c r="Y1408" i="32"/>
  <c r="Y1407" i="32"/>
  <c r="Y1406" i="32"/>
  <c r="Y1405" i="32"/>
  <c r="Y1404" i="32"/>
  <c r="Y1403" i="32"/>
  <c r="Y1402" i="32"/>
  <c r="Y1401" i="32"/>
  <c r="Y1400" i="32"/>
  <c r="Y1399" i="32"/>
  <c r="Y1398" i="32"/>
  <c r="Y1397" i="32"/>
  <c r="Y1396" i="32"/>
  <c r="Y1395" i="32"/>
  <c r="Y1394" i="32"/>
  <c r="Y1393" i="32"/>
  <c r="Y1392" i="32"/>
  <c r="Y1391" i="32"/>
  <c r="Y1390" i="32"/>
  <c r="Y1389" i="32"/>
  <c r="Y1388" i="32"/>
  <c r="Y1387" i="32"/>
  <c r="Y1386" i="32"/>
  <c r="Y1385" i="32"/>
  <c r="Y1384" i="32"/>
  <c r="Y1383" i="32"/>
  <c r="Y1382" i="32"/>
  <c r="Y1381" i="32"/>
  <c r="Y1380" i="32"/>
  <c r="Y1379" i="32"/>
  <c r="Y1378" i="32"/>
  <c r="Y1377" i="32"/>
  <c r="Y1376" i="32"/>
  <c r="Y1375" i="32"/>
  <c r="Y1374" i="32"/>
  <c r="Y1373" i="32"/>
  <c r="Y1372" i="32"/>
  <c r="Y1371" i="32"/>
  <c r="Y1370" i="32"/>
  <c r="Y1369" i="32"/>
  <c r="Y1368" i="32"/>
  <c r="Y1367" i="32"/>
  <c r="Y1366" i="32"/>
  <c r="Y1365" i="32"/>
  <c r="Y1364" i="32"/>
  <c r="Y1363" i="32"/>
  <c r="Y1362" i="32"/>
  <c r="Y1361" i="32"/>
  <c r="Y1360" i="32"/>
  <c r="Y1359" i="32"/>
  <c r="Y1358" i="32"/>
  <c r="Y1357" i="32"/>
  <c r="Y1356" i="32"/>
  <c r="Y1355" i="32"/>
  <c r="Y1354" i="32"/>
  <c r="Y1353" i="32"/>
  <c r="Y1352" i="32"/>
  <c r="Y1351" i="32"/>
  <c r="Y1350" i="32"/>
  <c r="Y1349" i="32"/>
  <c r="Y1348" i="32"/>
  <c r="Y1347" i="32"/>
  <c r="Y1346" i="32"/>
  <c r="Y1345" i="32"/>
  <c r="Y1344" i="32"/>
  <c r="Y1343" i="32"/>
  <c r="Y1342" i="32"/>
  <c r="Y1341" i="32"/>
  <c r="Y1340" i="32"/>
  <c r="Y1339" i="32"/>
  <c r="Y1338" i="32"/>
  <c r="Y1337" i="32"/>
  <c r="Y1336" i="32"/>
  <c r="Y1335" i="32"/>
  <c r="Y1334" i="32"/>
  <c r="Y1333" i="32"/>
  <c r="Y1332" i="32"/>
  <c r="Y1331" i="32"/>
  <c r="Y1330" i="32"/>
  <c r="Y1329" i="32"/>
  <c r="Y1328" i="32"/>
  <c r="Y1327" i="32"/>
  <c r="Y1326" i="32"/>
  <c r="Y1325" i="32"/>
  <c r="Y1324" i="32"/>
  <c r="Y1323" i="32"/>
  <c r="Y1322" i="32"/>
  <c r="Y1321" i="32"/>
  <c r="Y1320" i="32"/>
  <c r="Y1319" i="32"/>
  <c r="Y1318" i="32"/>
  <c r="Y1317" i="32"/>
  <c r="Y1316" i="32"/>
  <c r="Y1315" i="32"/>
  <c r="Y1314" i="32"/>
  <c r="Y1313" i="32"/>
  <c r="Y1312" i="32"/>
  <c r="Y1311" i="32"/>
  <c r="Y1310" i="32"/>
  <c r="Y1309" i="32"/>
  <c r="Y1308" i="32"/>
  <c r="Y1307" i="32"/>
  <c r="Y1306" i="32"/>
  <c r="Y1305" i="32"/>
  <c r="Y1304" i="32"/>
  <c r="Y1303" i="32"/>
  <c r="Y1302" i="32"/>
  <c r="Y1301" i="32"/>
  <c r="Y1300" i="32"/>
  <c r="Y1299" i="32"/>
  <c r="Y1298" i="32"/>
  <c r="Y1297" i="32"/>
  <c r="Y1296" i="32"/>
  <c r="Y1295" i="32"/>
  <c r="Y1294" i="32"/>
  <c r="Y1293" i="32"/>
  <c r="Y1292" i="32"/>
  <c r="Y1291" i="32"/>
  <c r="Y1290" i="32"/>
  <c r="Y1289" i="32"/>
  <c r="Y1288" i="32"/>
  <c r="Y1287" i="32"/>
  <c r="Y1286" i="32"/>
  <c r="Y1285" i="32"/>
  <c r="Y1284" i="32"/>
  <c r="Y1283" i="32"/>
  <c r="Y1282" i="32"/>
  <c r="Y1281" i="32"/>
  <c r="Y1280" i="32"/>
  <c r="Y1279" i="32"/>
  <c r="Y1278" i="32"/>
  <c r="Y1277" i="32"/>
  <c r="Y1276" i="32"/>
  <c r="Y1275" i="32"/>
  <c r="Y1274" i="32"/>
  <c r="Y1273" i="32"/>
  <c r="Y1272" i="32"/>
  <c r="Y1271" i="32"/>
  <c r="Y1270" i="32"/>
  <c r="Y1269" i="32"/>
  <c r="Y1268" i="32"/>
  <c r="Y1267" i="32"/>
  <c r="Y1266" i="32"/>
  <c r="Y1265" i="32"/>
  <c r="Y1264" i="32"/>
  <c r="Y1263" i="32"/>
  <c r="Y1262" i="32"/>
  <c r="Y1261" i="32"/>
  <c r="Y1260" i="32"/>
  <c r="Y1259" i="32"/>
  <c r="Y1258" i="32"/>
  <c r="Y1257" i="32"/>
  <c r="Y1256" i="32"/>
  <c r="Y1255" i="32"/>
  <c r="Y1254" i="32"/>
  <c r="Y1253" i="32"/>
  <c r="Y1252" i="32"/>
  <c r="Y1251" i="32"/>
  <c r="Y1250" i="32"/>
  <c r="Y1249" i="32"/>
  <c r="Y1248" i="32"/>
  <c r="Y1247" i="32"/>
  <c r="Y1246" i="32"/>
  <c r="Y1245" i="32"/>
  <c r="Y1244" i="32"/>
  <c r="Y1243" i="32"/>
  <c r="Y1242" i="32"/>
  <c r="Y1241" i="32"/>
  <c r="Y1240" i="32"/>
  <c r="Y1239" i="32"/>
  <c r="Y1238" i="32"/>
  <c r="Y1237" i="32"/>
  <c r="Y1236" i="32"/>
  <c r="Y1235" i="32"/>
  <c r="Y1234" i="32"/>
  <c r="Y1233" i="32"/>
  <c r="Y1232" i="32"/>
  <c r="Y1231" i="32"/>
  <c r="Y1230" i="32"/>
  <c r="Y1229" i="32"/>
  <c r="Y1228" i="32"/>
  <c r="Y1227" i="32"/>
  <c r="Y1226" i="32"/>
  <c r="Y1225" i="32"/>
  <c r="Y1224" i="32"/>
  <c r="Y1223" i="32"/>
  <c r="Y1222" i="32"/>
  <c r="Y1221" i="32"/>
  <c r="Y1220" i="32"/>
  <c r="Y1219" i="32"/>
  <c r="Y1218" i="32"/>
  <c r="Y1217" i="32"/>
  <c r="Y1216" i="32"/>
  <c r="Y1215" i="32"/>
  <c r="Y1214" i="32"/>
  <c r="Y1213" i="32"/>
  <c r="Y1212" i="32"/>
  <c r="Y1211" i="32"/>
  <c r="Y1210" i="32"/>
  <c r="Y1209" i="32"/>
  <c r="Y1208" i="32"/>
  <c r="Y1207" i="32"/>
  <c r="Y1206" i="32"/>
  <c r="Y1205" i="32"/>
  <c r="Y1204" i="32"/>
  <c r="Y1203" i="32"/>
  <c r="Y1202" i="32"/>
  <c r="Y1201" i="32"/>
  <c r="Y1200" i="32"/>
  <c r="Y1199" i="32"/>
  <c r="Y1198" i="32"/>
  <c r="Y1197" i="32"/>
  <c r="Y1196" i="32"/>
  <c r="Y1195" i="32"/>
  <c r="Y1194" i="32"/>
  <c r="Y1193" i="32"/>
  <c r="Y1192" i="32"/>
  <c r="Y1191" i="32"/>
  <c r="Y1190" i="32"/>
  <c r="Y1189" i="32"/>
  <c r="Y1188" i="32"/>
  <c r="Y1187" i="32"/>
  <c r="Y1186" i="32"/>
  <c r="Y1185" i="32"/>
  <c r="Y1184" i="32"/>
  <c r="Y1183" i="32"/>
  <c r="Y1182" i="32"/>
  <c r="Y1181" i="32"/>
  <c r="Y1180" i="32"/>
  <c r="Y1179" i="32"/>
  <c r="Y1178" i="32"/>
  <c r="Y1177" i="32"/>
  <c r="Y1176" i="32"/>
  <c r="Y1175" i="32"/>
  <c r="Y1174" i="32"/>
  <c r="Y1173" i="32"/>
  <c r="Y1172" i="32"/>
  <c r="Y1171" i="32"/>
  <c r="Y1170" i="32"/>
  <c r="Y1169" i="32"/>
  <c r="Y1168" i="32"/>
  <c r="Y1167" i="32"/>
  <c r="Y1166" i="32"/>
  <c r="Y1165" i="32"/>
  <c r="Y1164" i="32"/>
  <c r="Y1163" i="32"/>
  <c r="Y1162" i="32"/>
  <c r="Y1161" i="32"/>
  <c r="Y1160" i="32"/>
  <c r="Y1159" i="32"/>
  <c r="Y1158" i="32"/>
  <c r="Y1157" i="32"/>
  <c r="Y1156" i="32"/>
  <c r="Y1155" i="32"/>
  <c r="Y1154" i="32"/>
  <c r="Y1153" i="32"/>
  <c r="Y1152" i="32"/>
  <c r="Y1151" i="32"/>
  <c r="Y1150" i="32"/>
  <c r="Y1149" i="32"/>
  <c r="Y1148" i="32"/>
  <c r="Y1147" i="32"/>
  <c r="Y1146" i="32"/>
  <c r="Y1145" i="32"/>
  <c r="Y1144" i="32"/>
  <c r="Y1143" i="32"/>
  <c r="Y1142" i="32"/>
  <c r="Y1141" i="32"/>
  <c r="Y1140" i="32"/>
  <c r="Y1139" i="32"/>
  <c r="Y1138" i="32"/>
  <c r="Y1137" i="32"/>
  <c r="Y1136" i="32"/>
  <c r="Y1135" i="32"/>
  <c r="Y1134" i="32"/>
  <c r="Y1133" i="32"/>
  <c r="Y1132" i="32"/>
  <c r="Y1131" i="32"/>
  <c r="Y1130" i="32"/>
  <c r="Y1129" i="32"/>
  <c r="Y1128" i="32"/>
  <c r="Y1127" i="32"/>
  <c r="Y1126" i="32"/>
  <c r="Y1125" i="32"/>
  <c r="Y1124" i="32"/>
  <c r="Y1123" i="32"/>
  <c r="Y1122" i="32"/>
  <c r="Y1121" i="32"/>
  <c r="Y1120" i="32"/>
  <c r="Y1119" i="32"/>
  <c r="Y1118" i="32"/>
  <c r="Y1117" i="32"/>
  <c r="Y1116" i="32"/>
  <c r="Y1115" i="32"/>
  <c r="Y1114" i="32"/>
  <c r="Y1113" i="32"/>
  <c r="Y1112" i="32"/>
  <c r="Y1111" i="32"/>
  <c r="Y1110" i="32"/>
  <c r="Y1109" i="32"/>
  <c r="Y1108" i="32"/>
  <c r="Y1107" i="32"/>
  <c r="Y1106" i="32"/>
  <c r="Y1105" i="32"/>
  <c r="Y1104" i="32"/>
  <c r="Y1103" i="32"/>
  <c r="Y1102" i="32"/>
  <c r="Y1101" i="32"/>
  <c r="Y1100" i="32"/>
  <c r="Y1099" i="32"/>
  <c r="Y1098" i="32"/>
  <c r="Y1097" i="32"/>
  <c r="Y1096" i="32"/>
  <c r="Y1095" i="32"/>
  <c r="Y1094" i="32"/>
  <c r="Y1093" i="32"/>
  <c r="Y1092" i="32"/>
  <c r="Y1091" i="32"/>
  <c r="Y1090" i="32"/>
  <c r="Y1089" i="32"/>
  <c r="Y1088" i="32"/>
  <c r="Y1087" i="32"/>
  <c r="Y1086" i="32"/>
  <c r="Y1085" i="32"/>
  <c r="Y1084" i="32"/>
  <c r="Y1083" i="32"/>
  <c r="Y1082" i="32"/>
  <c r="Y1081" i="32"/>
  <c r="Y1080" i="32"/>
  <c r="Y1079" i="32"/>
  <c r="Y1078" i="32"/>
  <c r="Y1077" i="32"/>
  <c r="Y1076" i="32"/>
  <c r="Y1075" i="32"/>
  <c r="Y1074" i="32"/>
  <c r="Y1073" i="32"/>
  <c r="Y1072" i="32"/>
  <c r="Y1071" i="32"/>
  <c r="Y1070" i="32"/>
  <c r="Y1069" i="32"/>
  <c r="Y1068" i="32"/>
  <c r="Y1067" i="32"/>
  <c r="Y1066" i="32"/>
  <c r="Y1065" i="32"/>
  <c r="Y1064" i="32"/>
  <c r="Y1063" i="32"/>
  <c r="Y1062" i="32"/>
  <c r="Y1061" i="32"/>
  <c r="Y1060" i="32"/>
  <c r="Y1059" i="32"/>
  <c r="Y1058" i="32"/>
  <c r="Y1057" i="32"/>
  <c r="Y1056" i="32"/>
  <c r="Y1055" i="32"/>
  <c r="Y1054" i="32"/>
  <c r="Y1053" i="32"/>
  <c r="Y1052" i="32"/>
  <c r="Y1051" i="32"/>
  <c r="Y1050" i="32"/>
  <c r="Y1049" i="32"/>
  <c r="Y1048" i="32"/>
  <c r="Y1047" i="32"/>
  <c r="Y1046" i="32"/>
  <c r="Y1045" i="32"/>
  <c r="Y1044" i="32"/>
  <c r="Y1043" i="32"/>
  <c r="Y1042" i="32"/>
  <c r="Y1041" i="32"/>
  <c r="Y1040" i="32"/>
  <c r="Y1039" i="32"/>
  <c r="Y1038" i="32"/>
  <c r="Y1037" i="32"/>
  <c r="Y1036" i="32"/>
  <c r="Y1035" i="32"/>
  <c r="Y1034" i="32"/>
  <c r="Y1033" i="32"/>
  <c r="Y1032" i="32"/>
  <c r="Y1031" i="32"/>
  <c r="Y1030" i="32"/>
  <c r="Y1029" i="32"/>
  <c r="Y1028" i="32"/>
  <c r="Y1027" i="32"/>
  <c r="Y1026" i="32"/>
  <c r="Y1025" i="32"/>
  <c r="Y1024" i="32"/>
  <c r="Y1023" i="32"/>
  <c r="Y1022" i="32"/>
  <c r="Y1021" i="32"/>
  <c r="Y1020" i="32"/>
  <c r="Y1019" i="32"/>
  <c r="Y1018" i="32"/>
  <c r="Y1017" i="32"/>
  <c r="Y1016" i="32"/>
  <c r="Y1015" i="32"/>
  <c r="Y1014" i="32"/>
  <c r="Y1013" i="32"/>
  <c r="Y1012" i="32"/>
  <c r="Y1011" i="32"/>
  <c r="Y1010" i="32"/>
  <c r="Y1009" i="32"/>
  <c r="Y1008" i="32"/>
  <c r="Y1007" i="32"/>
  <c r="Y1006" i="32"/>
  <c r="Y1005" i="32"/>
  <c r="Y1004" i="32"/>
  <c r="Y1003" i="32"/>
  <c r="Y1002" i="32"/>
  <c r="Y1001" i="32"/>
  <c r="Y1000" i="32"/>
  <c r="Y999" i="32"/>
  <c r="Y998" i="32"/>
  <c r="Y997" i="32"/>
  <c r="Y996" i="32"/>
  <c r="Y995" i="32"/>
  <c r="Y994" i="32"/>
  <c r="Y993" i="32"/>
  <c r="Y992" i="32"/>
  <c r="Y991" i="32"/>
  <c r="Y990" i="32"/>
  <c r="Y989" i="32"/>
  <c r="Y988" i="32"/>
  <c r="Y987" i="32"/>
  <c r="Y986" i="32"/>
  <c r="Y985" i="32"/>
  <c r="Y984" i="32"/>
  <c r="Y983" i="32"/>
  <c r="Y982" i="32"/>
  <c r="Y981" i="32"/>
  <c r="Y980" i="32"/>
  <c r="Y979" i="32"/>
  <c r="Y978" i="32"/>
  <c r="Y977" i="32"/>
  <c r="Y976" i="32"/>
  <c r="Y975" i="32"/>
  <c r="Y974" i="32"/>
  <c r="Y973" i="32"/>
  <c r="Y972" i="32"/>
  <c r="Y971" i="32"/>
  <c r="Y970" i="32"/>
  <c r="Y969" i="32"/>
  <c r="Y968" i="32"/>
  <c r="Y967" i="32"/>
  <c r="Y966" i="32"/>
  <c r="Y965" i="32"/>
  <c r="Y964" i="32"/>
  <c r="Y963" i="32"/>
  <c r="Y962" i="32"/>
  <c r="Y961" i="32"/>
  <c r="Y960" i="32"/>
  <c r="Y959" i="32"/>
  <c r="Y958" i="32"/>
  <c r="Y957" i="32"/>
  <c r="Y956" i="32"/>
  <c r="Y955" i="32"/>
  <c r="Y954" i="32"/>
  <c r="Y953" i="32"/>
  <c r="Y952" i="32"/>
  <c r="Y951" i="32"/>
  <c r="Y950" i="32"/>
  <c r="Y949" i="32"/>
  <c r="Y948" i="32"/>
  <c r="Y947" i="32"/>
  <c r="Y946" i="32"/>
  <c r="Y945" i="32"/>
  <c r="Y944" i="32"/>
  <c r="Y943" i="32"/>
  <c r="Y942" i="32"/>
  <c r="Y941" i="32"/>
  <c r="Y940" i="32"/>
  <c r="Y939" i="32"/>
  <c r="Y938" i="32"/>
  <c r="Y937" i="32"/>
  <c r="Y936" i="32"/>
  <c r="Y935" i="32"/>
  <c r="Y934" i="32"/>
  <c r="Y933" i="32"/>
  <c r="Y932" i="32"/>
  <c r="Y931" i="32"/>
  <c r="Y930" i="32"/>
  <c r="Y929" i="32"/>
  <c r="Y928" i="32"/>
  <c r="Y927" i="32"/>
  <c r="Y926" i="32"/>
  <c r="Y925" i="32"/>
  <c r="Y924" i="32"/>
  <c r="Y923" i="32"/>
  <c r="Y922" i="32"/>
  <c r="Y921" i="32"/>
  <c r="Y920" i="32"/>
  <c r="Y919" i="32"/>
  <c r="Y918" i="32"/>
  <c r="Y917" i="32"/>
  <c r="Y916" i="32"/>
  <c r="Y915" i="32"/>
  <c r="Y914" i="32"/>
  <c r="Y913" i="32"/>
  <c r="Y912" i="32"/>
  <c r="Y911" i="32"/>
  <c r="Y910" i="32"/>
  <c r="Y909" i="32"/>
  <c r="Y908" i="32"/>
  <c r="Y907" i="32"/>
  <c r="Y906" i="32"/>
  <c r="Y905" i="32"/>
  <c r="Y904" i="32"/>
  <c r="Y903" i="32"/>
  <c r="Y902" i="32"/>
  <c r="Y901" i="32"/>
  <c r="Y900" i="32"/>
  <c r="Y899" i="32"/>
  <c r="Y898" i="32"/>
  <c r="Y897" i="32"/>
  <c r="Y896" i="32"/>
  <c r="Y895" i="32"/>
  <c r="Y894" i="32"/>
  <c r="Y893" i="32"/>
  <c r="Y892" i="32"/>
  <c r="Y891" i="32"/>
  <c r="Y890" i="32"/>
  <c r="Y889" i="32"/>
  <c r="Y888" i="32"/>
  <c r="Y887" i="32"/>
  <c r="Y886" i="32"/>
  <c r="Y885" i="32"/>
  <c r="Y884" i="32"/>
  <c r="Y883" i="32"/>
  <c r="Y882" i="32"/>
  <c r="Y881" i="32"/>
  <c r="Y880" i="32"/>
  <c r="Y879" i="32"/>
  <c r="Y878" i="32"/>
  <c r="Y877" i="32"/>
  <c r="Y876" i="32"/>
  <c r="Y875" i="32"/>
  <c r="Y874" i="32"/>
  <c r="Y873" i="32"/>
  <c r="Y872" i="32"/>
  <c r="Y871" i="32"/>
  <c r="Y870" i="32"/>
  <c r="Y869" i="32"/>
  <c r="Y868" i="32"/>
  <c r="Y867" i="32"/>
  <c r="Y866" i="32"/>
  <c r="Y865" i="32"/>
  <c r="Y864" i="32"/>
  <c r="Y863" i="32"/>
  <c r="Y862" i="32"/>
  <c r="Y861" i="32"/>
  <c r="Y860" i="32"/>
  <c r="Y859" i="32"/>
  <c r="Y858" i="32"/>
  <c r="Y857" i="32"/>
  <c r="Y856" i="32"/>
  <c r="Y855" i="32"/>
  <c r="Y854" i="32"/>
  <c r="Y853" i="32"/>
  <c r="Y852" i="32"/>
  <c r="Y851" i="32"/>
  <c r="Y850" i="32"/>
  <c r="Y849" i="32"/>
  <c r="Y848" i="32"/>
  <c r="Y847" i="32"/>
  <c r="Y846" i="32"/>
  <c r="Y845" i="32"/>
  <c r="Y844" i="32"/>
  <c r="Y843" i="32"/>
  <c r="Y842" i="32"/>
  <c r="Y841" i="32"/>
  <c r="Y840" i="32"/>
  <c r="Y839" i="32"/>
  <c r="Y838" i="32"/>
  <c r="Y837" i="32"/>
  <c r="Y836" i="32"/>
  <c r="Y835" i="32"/>
  <c r="Y834" i="32"/>
  <c r="Y833" i="32"/>
  <c r="Y832" i="32"/>
  <c r="Y831" i="32"/>
  <c r="Y830" i="32"/>
  <c r="Y829" i="32"/>
  <c r="Y828" i="32"/>
  <c r="Y827" i="32"/>
  <c r="Y826" i="32"/>
  <c r="Y825" i="32"/>
  <c r="Y824" i="32"/>
  <c r="Y823" i="32"/>
  <c r="Y822" i="32"/>
  <c r="Y821" i="32"/>
  <c r="Y820" i="32"/>
  <c r="Y819" i="32"/>
  <c r="Y818" i="32"/>
  <c r="Y817" i="32"/>
  <c r="Y816" i="32"/>
  <c r="Y815" i="32"/>
  <c r="Y814" i="32"/>
  <c r="Y813" i="32"/>
  <c r="Y812" i="32"/>
  <c r="Y811" i="32"/>
  <c r="Y810" i="32"/>
  <c r="Y809" i="32"/>
  <c r="Y808" i="32"/>
  <c r="Y807" i="32"/>
  <c r="Y806" i="32"/>
  <c r="Y805" i="32"/>
  <c r="Y804" i="32"/>
  <c r="Y803" i="32"/>
  <c r="Y802" i="32"/>
  <c r="Y801" i="32"/>
  <c r="Y800" i="32"/>
  <c r="Y799" i="32"/>
  <c r="Y798" i="32"/>
  <c r="Y797" i="32"/>
  <c r="Y796" i="32"/>
  <c r="Y795" i="32"/>
  <c r="Y794" i="32"/>
  <c r="Y793" i="32"/>
  <c r="Y792" i="32"/>
  <c r="Y791" i="32"/>
  <c r="Y790" i="32"/>
  <c r="Y789" i="32"/>
  <c r="Y788" i="32"/>
  <c r="Y787" i="32"/>
  <c r="Y786" i="32"/>
  <c r="Y785" i="32"/>
  <c r="Y784" i="32"/>
  <c r="Y783" i="32"/>
  <c r="Y782" i="32"/>
  <c r="Y781" i="32"/>
  <c r="Y780" i="32"/>
  <c r="Y779" i="32"/>
  <c r="Y778" i="32"/>
  <c r="Y777" i="32"/>
  <c r="Y776" i="32"/>
  <c r="Y775" i="32"/>
  <c r="Y774" i="32"/>
  <c r="Y773" i="32"/>
  <c r="Y772" i="32"/>
  <c r="Y771" i="32"/>
  <c r="Y770" i="32"/>
  <c r="Y769" i="32"/>
  <c r="Y768" i="32"/>
  <c r="Y767" i="32"/>
  <c r="Y766" i="32"/>
  <c r="Y765" i="32"/>
  <c r="Y764" i="32"/>
  <c r="Y763" i="32"/>
  <c r="Y762" i="32"/>
  <c r="Y761" i="32"/>
  <c r="Y760" i="32"/>
  <c r="Y759" i="32"/>
  <c r="Y758" i="32"/>
  <c r="Y757" i="32"/>
  <c r="Y756" i="32"/>
  <c r="Y755" i="32"/>
  <c r="Y754" i="32"/>
  <c r="Y753" i="32"/>
  <c r="Y752" i="32"/>
  <c r="Y751" i="32"/>
  <c r="Y750" i="32"/>
  <c r="Y749" i="32"/>
  <c r="Y748" i="32"/>
  <c r="Y747" i="32"/>
  <c r="Y746" i="32"/>
  <c r="Y745" i="32"/>
  <c r="Y744" i="32"/>
  <c r="Y743" i="32"/>
  <c r="Y742" i="32"/>
  <c r="Y741" i="32"/>
  <c r="Y740" i="32"/>
  <c r="Y739" i="32"/>
  <c r="Y738" i="32"/>
  <c r="Y737" i="32"/>
  <c r="Y736" i="32"/>
  <c r="Y735" i="32"/>
  <c r="Y734" i="32"/>
  <c r="Y733" i="32"/>
  <c r="Y732" i="32"/>
  <c r="Y731" i="32"/>
  <c r="Y730" i="32"/>
  <c r="Y729" i="32"/>
  <c r="Y728" i="32"/>
  <c r="Y727" i="32"/>
  <c r="Y726" i="32"/>
  <c r="Y725" i="32"/>
  <c r="Y724" i="32"/>
  <c r="Y723" i="32"/>
  <c r="Y722" i="32"/>
  <c r="Y721" i="32"/>
  <c r="Y720" i="32"/>
  <c r="Y719" i="32"/>
  <c r="Y718" i="32"/>
  <c r="Y717" i="32"/>
  <c r="Y716" i="32"/>
  <c r="Y715" i="32"/>
  <c r="Y714" i="32"/>
  <c r="Y713" i="32"/>
  <c r="Y712" i="32"/>
  <c r="Y711" i="32"/>
  <c r="Y710" i="32"/>
  <c r="Y709" i="32"/>
  <c r="Y708" i="32"/>
  <c r="Y707" i="32"/>
  <c r="Y706" i="32"/>
  <c r="Y705" i="32"/>
  <c r="Y704" i="32"/>
  <c r="Y703" i="32"/>
  <c r="Y702" i="32"/>
  <c r="Y701" i="32"/>
  <c r="Y700" i="32"/>
  <c r="Y699" i="32"/>
  <c r="Y698" i="32"/>
  <c r="Y697" i="32"/>
  <c r="Y696" i="32"/>
  <c r="Y695" i="32"/>
  <c r="Y694" i="32"/>
  <c r="Y693" i="32"/>
  <c r="Y692" i="32"/>
  <c r="Y691" i="32"/>
  <c r="Y690" i="32"/>
  <c r="Y689" i="32"/>
  <c r="Y688" i="32"/>
  <c r="Y687" i="32"/>
  <c r="Y686" i="32"/>
  <c r="Y685" i="32"/>
  <c r="Y684" i="32"/>
  <c r="Y683" i="32"/>
  <c r="Y682" i="32"/>
  <c r="Y681" i="32"/>
  <c r="Y680" i="32"/>
  <c r="Y679" i="32"/>
  <c r="Y678" i="32"/>
  <c r="Y677" i="32"/>
  <c r="Y676" i="32"/>
  <c r="Y675" i="32"/>
  <c r="Y674" i="32"/>
  <c r="Y673" i="32"/>
  <c r="Y672" i="32"/>
  <c r="Y671" i="32"/>
  <c r="Y670" i="32"/>
  <c r="Y669" i="32"/>
  <c r="Y668" i="32"/>
  <c r="Y667" i="32"/>
  <c r="Y666" i="32"/>
  <c r="Y665" i="32"/>
  <c r="Y664" i="32"/>
  <c r="Y663" i="32"/>
  <c r="Y662" i="32"/>
  <c r="Y661" i="32"/>
  <c r="Y660" i="32"/>
  <c r="Y659" i="32"/>
  <c r="Y658" i="32"/>
  <c r="Y657" i="32"/>
  <c r="Y656" i="32"/>
  <c r="Y655" i="32"/>
  <c r="Y654" i="32"/>
  <c r="Y653" i="32"/>
  <c r="Y652" i="32"/>
  <c r="Y651" i="32"/>
  <c r="Y650" i="32"/>
  <c r="Y649" i="32"/>
  <c r="Y648" i="32"/>
  <c r="Y647" i="32"/>
  <c r="Y646" i="32"/>
  <c r="Y645" i="32"/>
  <c r="Y644" i="32"/>
  <c r="Y643" i="32"/>
  <c r="Y642" i="32"/>
  <c r="Y641" i="32"/>
  <c r="Y640" i="32"/>
  <c r="Y639" i="32"/>
  <c r="Y638" i="32"/>
  <c r="Y637" i="32"/>
  <c r="Y636" i="32"/>
  <c r="Y635" i="32"/>
  <c r="Y634" i="32"/>
  <c r="Y633" i="32"/>
  <c r="Y632" i="32"/>
  <c r="Y631" i="32"/>
  <c r="Y630" i="32"/>
  <c r="Y629" i="32"/>
  <c r="Y628" i="32"/>
  <c r="Y627" i="32"/>
  <c r="Y626" i="32"/>
  <c r="Y625" i="32"/>
  <c r="Y624" i="32"/>
  <c r="Y623" i="32"/>
  <c r="Y622" i="32"/>
  <c r="Y621" i="32"/>
  <c r="Y620" i="32"/>
  <c r="Y619" i="32"/>
  <c r="Y618" i="32"/>
  <c r="Y617" i="32"/>
  <c r="Y616" i="32"/>
  <c r="Y615" i="32"/>
  <c r="Y614" i="32"/>
  <c r="Y613" i="32"/>
  <c r="Y612" i="32"/>
  <c r="Y611" i="32"/>
  <c r="Y610" i="32"/>
  <c r="Y609" i="32"/>
  <c r="Y608" i="32"/>
  <c r="Y607" i="32"/>
  <c r="Y606" i="32"/>
  <c r="Y605" i="32"/>
  <c r="Y604" i="32"/>
  <c r="Y603" i="32"/>
  <c r="Y602" i="32"/>
  <c r="Y601" i="32"/>
  <c r="Y600" i="32"/>
  <c r="Y599" i="32"/>
  <c r="Y598" i="32"/>
  <c r="Y597" i="32"/>
  <c r="Y596" i="32"/>
  <c r="Y595" i="32"/>
  <c r="Y594" i="32"/>
  <c r="Y593" i="32"/>
  <c r="Y592" i="32"/>
  <c r="Y591" i="32"/>
  <c r="Y590" i="32"/>
  <c r="Y589" i="32"/>
  <c r="Y588" i="32"/>
  <c r="Y587" i="32"/>
  <c r="Y586" i="32"/>
  <c r="Y585" i="32"/>
  <c r="Y584" i="32"/>
  <c r="Y583" i="32"/>
  <c r="Y582" i="32"/>
  <c r="Y581" i="32"/>
  <c r="Y580" i="32"/>
  <c r="Y579" i="32"/>
  <c r="Y578" i="32"/>
  <c r="Y577" i="32"/>
  <c r="Y576" i="32"/>
  <c r="Y575" i="32"/>
  <c r="Y574" i="32"/>
  <c r="Y573" i="32"/>
  <c r="Y572" i="32"/>
  <c r="Y571" i="32"/>
  <c r="Y570" i="32"/>
  <c r="Y569" i="32"/>
  <c r="Y568" i="32"/>
  <c r="Y567" i="32"/>
  <c r="Y566" i="32"/>
  <c r="Y565" i="32"/>
  <c r="Y564" i="32"/>
  <c r="Y563" i="32"/>
  <c r="Y562" i="32"/>
  <c r="Y561" i="32"/>
  <c r="Y560" i="32"/>
  <c r="Y559" i="32"/>
  <c r="Y558" i="32"/>
  <c r="Y557" i="32"/>
  <c r="Y556" i="32"/>
  <c r="Y555" i="32"/>
  <c r="Y554" i="32"/>
  <c r="Y553" i="32"/>
  <c r="Y552" i="32"/>
  <c r="Y551" i="32"/>
  <c r="Y550" i="32"/>
  <c r="Y549" i="32"/>
  <c r="Y548" i="32"/>
  <c r="Y547" i="32"/>
  <c r="Y546" i="32"/>
  <c r="Y545" i="32"/>
  <c r="Y544" i="32"/>
  <c r="Y543" i="32"/>
  <c r="Y542" i="32"/>
  <c r="Y541" i="32"/>
  <c r="Y540" i="32"/>
  <c r="Y539" i="32"/>
  <c r="Y538" i="32"/>
  <c r="Y537" i="32"/>
  <c r="Y536" i="32"/>
  <c r="Y535" i="32"/>
  <c r="Y534" i="32"/>
  <c r="Y533" i="32"/>
  <c r="Y532" i="32"/>
  <c r="Y531" i="32"/>
  <c r="Y530" i="32"/>
  <c r="Y529" i="32"/>
  <c r="Y528" i="32"/>
  <c r="Y527" i="32"/>
  <c r="Y526" i="32"/>
  <c r="Y525" i="32"/>
  <c r="Y524" i="32"/>
  <c r="Y523" i="32"/>
  <c r="Y522" i="32"/>
  <c r="Y521" i="32"/>
  <c r="Y520" i="32"/>
  <c r="Y519" i="32"/>
  <c r="Y518" i="32"/>
  <c r="Y517" i="32"/>
  <c r="Y516" i="32"/>
  <c r="Y515" i="32"/>
  <c r="Y514" i="32"/>
  <c r="Y513" i="32"/>
  <c r="Y512" i="32"/>
  <c r="Y511" i="32"/>
  <c r="Y510" i="32"/>
  <c r="Y509" i="32"/>
  <c r="Y508" i="32"/>
  <c r="Y507" i="32"/>
  <c r="Y506" i="32"/>
  <c r="Y505" i="32"/>
  <c r="Y504" i="32"/>
  <c r="Y503" i="32"/>
  <c r="Y502" i="32"/>
  <c r="Y501" i="32"/>
  <c r="Y500" i="32"/>
  <c r="Y499" i="32"/>
  <c r="Y498" i="32"/>
  <c r="Y497" i="32"/>
  <c r="Y496" i="32"/>
  <c r="Y495" i="32"/>
  <c r="Y494" i="32"/>
  <c r="Y493" i="32"/>
  <c r="Y492" i="32"/>
  <c r="Y491" i="32"/>
  <c r="Y490" i="32"/>
  <c r="Y489" i="32"/>
  <c r="Y488" i="32"/>
  <c r="Y487" i="32"/>
  <c r="Y486" i="32"/>
  <c r="Y485" i="32"/>
  <c r="Y484" i="32"/>
  <c r="Y483" i="32"/>
  <c r="Y482" i="32"/>
  <c r="Y481" i="32"/>
  <c r="Y480" i="32"/>
  <c r="Y479" i="32"/>
  <c r="Y478" i="32"/>
  <c r="Y477" i="32"/>
  <c r="Y476" i="32"/>
  <c r="Y475" i="32"/>
  <c r="Y474" i="32"/>
  <c r="Y473" i="32"/>
  <c r="Y472" i="32"/>
  <c r="Y471" i="32"/>
  <c r="Y470" i="32"/>
  <c r="Y469" i="32"/>
  <c r="Y468" i="32"/>
  <c r="Y467" i="32"/>
  <c r="Y466" i="32"/>
  <c r="Y465" i="32"/>
  <c r="Y464" i="32"/>
  <c r="Y463" i="32"/>
  <c r="Y462" i="32"/>
  <c r="Y461" i="32"/>
  <c r="Y460" i="32"/>
  <c r="Y459" i="32"/>
  <c r="Y458" i="32"/>
  <c r="Y457" i="32"/>
  <c r="Y456" i="32"/>
  <c r="Y455" i="32"/>
  <c r="Y454" i="32"/>
  <c r="Y453" i="32"/>
  <c r="Y452" i="32"/>
  <c r="Y451" i="32"/>
  <c r="Y450" i="32"/>
  <c r="Y449" i="32"/>
  <c r="Y448" i="32"/>
  <c r="Y447" i="32"/>
  <c r="Y446" i="32"/>
  <c r="Y445" i="32"/>
  <c r="Y444" i="32"/>
  <c r="Y443" i="32"/>
  <c r="Y442" i="32"/>
  <c r="Y441" i="32"/>
  <c r="Y440" i="32"/>
  <c r="Y439" i="32"/>
  <c r="Y438" i="32"/>
  <c r="Y437" i="32"/>
  <c r="Y436" i="32"/>
  <c r="Y435" i="32"/>
  <c r="Y434" i="32"/>
  <c r="Y433" i="32"/>
  <c r="Y432" i="32"/>
  <c r="Y431" i="32"/>
  <c r="Y430" i="32"/>
  <c r="Y429" i="32"/>
  <c r="Y428" i="32"/>
  <c r="Y427" i="32"/>
  <c r="Y426" i="32"/>
  <c r="Y425" i="32"/>
  <c r="Y424" i="32"/>
  <c r="Y423" i="32"/>
  <c r="Y422" i="32"/>
  <c r="Y421" i="32"/>
  <c r="Y420" i="32"/>
  <c r="Y419" i="32"/>
  <c r="Y418" i="32"/>
  <c r="Y417" i="32"/>
  <c r="Y416" i="32"/>
  <c r="Y415" i="32"/>
  <c r="Y414" i="32"/>
  <c r="Y413" i="32"/>
  <c r="Y412" i="32"/>
  <c r="Y411" i="32"/>
  <c r="Y410" i="32"/>
  <c r="Y409" i="32"/>
  <c r="Y408" i="32"/>
  <c r="Y407" i="32"/>
  <c r="Y406" i="32"/>
  <c r="Y405" i="32"/>
  <c r="Y404" i="32"/>
  <c r="Y403" i="32"/>
  <c r="Y402" i="32"/>
  <c r="Y401" i="32"/>
  <c r="Y400" i="32"/>
  <c r="Y399" i="32"/>
  <c r="Y398" i="32"/>
  <c r="Y397" i="32"/>
  <c r="Y396" i="32"/>
  <c r="Y395" i="32"/>
  <c r="Y394" i="32"/>
  <c r="Y393" i="32"/>
  <c r="Y392" i="32"/>
  <c r="Y391" i="32"/>
  <c r="Y390" i="32"/>
  <c r="Y389" i="32"/>
  <c r="Y388" i="32"/>
  <c r="Y387" i="32"/>
  <c r="Y386" i="32"/>
  <c r="Y385" i="32"/>
  <c r="Y384" i="32"/>
  <c r="Y383" i="32"/>
  <c r="Y382" i="32"/>
  <c r="Y381" i="32"/>
  <c r="Y380" i="32"/>
  <c r="Y379" i="32"/>
  <c r="Y378" i="32"/>
  <c r="Y377" i="32"/>
  <c r="Y376" i="32"/>
  <c r="Y375" i="32"/>
  <c r="Y374" i="32"/>
  <c r="Y373" i="32"/>
  <c r="Y372" i="32"/>
  <c r="Y371" i="32"/>
  <c r="Y370" i="32"/>
  <c r="Y369" i="32"/>
  <c r="Y368" i="32"/>
  <c r="Y367" i="32"/>
  <c r="Y366" i="32"/>
  <c r="Y365" i="32"/>
  <c r="Y364" i="32"/>
  <c r="Y363" i="32"/>
  <c r="Y362" i="32"/>
  <c r="Y361" i="32"/>
  <c r="Y360" i="32"/>
  <c r="Y359" i="32"/>
  <c r="Y358" i="32"/>
  <c r="Y357" i="32"/>
  <c r="Y356" i="32"/>
  <c r="Y355" i="32"/>
  <c r="Y354" i="32"/>
  <c r="Y353" i="32"/>
  <c r="Y352" i="32"/>
  <c r="Y351" i="32"/>
  <c r="Y350" i="32"/>
  <c r="Y349" i="32"/>
  <c r="Y348" i="32"/>
  <c r="Y347" i="32"/>
  <c r="Y346" i="32"/>
  <c r="Y345" i="32"/>
  <c r="Y344" i="32"/>
  <c r="Y343" i="32"/>
  <c r="Y342" i="32"/>
  <c r="Y341" i="32"/>
  <c r="Y340" i="32"/>
  <c r="Y339" i="32"/>
  <c r="Y338" i="32"/>
  <c r="Y337" i="32"/>
  <c r="Y336" i="32"/>
  <c r="Y335" i="32"/>
  <c r="Y334" i="32"/>
  <c r="Y333" i="32"/>
  <c r="Y332" i="32"/>
  <c r="Y331" i="32"/>
  <c r="Y330" i="32"/>
  <c r="Y329" i="32"/>
  <c r="Y328" i="32"/>
  <c r="Y327" i="32"/>
  <c r="Y326" i="32"/>
  <c r="Y325" i="32"/>
  <c r="Y324" i="32"/>
  <c r="Y323" i="32"/>
  <c r="Y322" i="32"/>
  <c r="Y321" i="32"/>
  <c r="Y320" i="32"/>
  <c r="Y319" i="32"/>
  <c r="Y318" i="32"/>
  <c r="Y317" i="32"/>
  <c r="Y316" i="32"/>
  <c r="Y315" i="32"/>
  <c r="Y314" i="32"/>
  <c r="Y313" i="32"/>
  <c r="Y312" i="32"/>
  <c r="Y311" i="32"/>
  <c r="Y310" i="32"/>
  <c r="Y309" i="32"/>
  <c r="Y308" i="32"/>
  <c r="Y307" i="32"/>
  <c r="Y306" i="32"/>
  <c r="Y305" i="32"/>
  <c r="Y304" i="32"/>
  <c r="Y303" i="32"/>
  <c r="Y302" i="32"/>
  <c r="Y301" i="32"/>
  <c r="Y300" i="32"/>
  <c r="Y299" i="32"/>
  <c r="Y298" i="32"/>
  <c r="Y297" i="32"/>
  <c r="Y296" i="32"/>
  <c r="Y295" i="32"/>
  <c r="Y294" i="32"/>
  <c r="Y293" i="32"/>
  <c r="Y292" i="32"/>
  <c r="Y291" i="32"/>
  <c r="Y290" i="32"/>
  <c r="Y289" i="32"/>
  <c r="Y288" i="32"/>
  <c r="Y287" i="32"/>
  <c r="Y286" i="32"/>
  <c r="Y285" i="32"/>
  <c r="Y284" i="32"/>
  <c r="Y283" i="32"/>
  <c r="Y282" i="32"/>
  <c r="Y281" i="32"/>
  <c r="Y280" i="32"/>
  <c r="Y279" i="32"/>
  <c r="Y278" i="32"/>
  <c r="Y277" i="32"/>
  <c r="Y276" i="32" s="1"/>
  <c r="Q276" i="32"/>
  <c r="Y275" i="32"/>
  <c r="Y274" i="32"/>
  <c r="Y273" i="32"/>
  <c r="Y272" i="32"/>
  <c r="Y271" i="32"/>
  <c r="Y270" i="32"/>
  <c r="Y269" i="32"/>
  <c r="Y268" i="32"/>
  <c r="Y267" i="32"/>
  <c r="Y266" i="32"/>
  <c r="Y265" i="32"/>
  <c r="Y264" i="32"/>
  <c r="Y263" i="32"/>
  <c r="Y262" i="32"/>
  <c r="Y261" i="32"/>
  <c r="Y260" i="32"/>
  <c r="Y258" i="32"/>
  <c r="Y257" i="32"/>
  <c r="Y256" i="32"/>
  <c r="Y255" i="32"/>
  <c r="Y254" i="32"/>
  <c r="Y253" i="32"/>
  <c r="Y252" i="32"/>
  <c r="Y251" i="32"/>
  <c r="Y250" i="32"/>
  <c r="Y249" i="32"/>
  <c r="Y248" i="32"/>
  <c r="Y247" i="32"/>
  <c r="Y246" i="32"/>
  <c r="Y245" i="32"/>
  <c r="Y244" i="32"/>
  <c r="Y243" i="32"/>
  <c r="Y242" i="32"/>
  <c r="Y241" i="32"/>
  <c r="Y240" i="32"/>
  <c r="Y239" i="32"/>
  <c r="Y238" i="32"/>
  <c r="Y237" i="32"/>
  <c r="Y236" i="32"/>
  <c r="Y235" i="32"/>
  <c r="Y234" i="32"/>
  <c r="Y233" i="32"/>
  <c r="Y232" i="32"/>
  <c r="Y231" i="32"/>
  <c r="Y230" i="32"/>
  <c r="Y229" i="32"/>
  <c r="Y228" i="32"/>
  <c r="Y227" i="32"/>
  <c r="Y226" i="32"/>
  <c r="Y225" i="32"/>
  <c r="Y224" i="32"/>
  <c r="Y223" i="32"/>
  <c r="Y222" i="32"/>
  <c r="Y221" i="32"/>
  <c r="Y220" i="32"/>
  <c r="Y219" i="32"/>
  <c r="Y218" i="32"/>
  <c r="Y217" i="32"/>
  <c r="Y216" i="32"/>
  <c r="Y215" i="32"/>
  <c r="Y214" i="32"/>
  <c r="Y213" i="32"/>
  <c r="Y212" i="32"/>
  <c r="Y211" i="32"/>
  <c r="Y210" i="32"/>
  <c r="Y209" i="32"/>
  <c r="X208" i="32"/>
  <c r="W208" i="32"/>
  <c r="V208" i="32"/>
  <c r="U208" i="32"/>
  <c r="T208" i="32"/>
  <c r="S208" i="32"/>
  <c r="R208" i="32"/>
  <c r="Q208" i="32"/>
  <c r="P208" i="32"/>
  <c r="O208" i="32"/>
  <c r="N208" i="32"/>
  <c r="M208" i="32"/>
  <c r="Y208" i="32" s="1"/>
  <c r="X207" i="32"/>
  <c r="W207" i="32"/>
  <c r="V207" i="32"/>
  <c r="U207" i="32"/>
  <c r="T207" i="32"/>
  <c r="S207" i="32"/>
  <c r="R207" i="32"/>
  <c r="Q207" i="32"/>
  <c r="P207" i="32"/>
  <c r="O207" i="32"/>
  <c r="N207" i="32"/>
  <c r="M207" i="32"/>
  <c r="Y207" i="32" s="1"/>
  <c r="Y206" i="32"/>
  <c r="Y205" i="32"/>
  <c r="Y204" i="32"/>
  <c r="Y203" i="32"/>
  <c r="Y202" i="32"/>
  <c r="Y201" i="32"/>
  <c r="Y200" i="32"/>
  <c r="Y199" i="32"/>
  <c r="Y198" i="32"/>
  <c r="Y197" i="32"/>
  <c r="Y196" i="32"/>
  <c r="Y195" i="32"/>
  <c r="Y194" i="32"/>
  <c r="Y193" i="32"/>
  <c r="Y192" i="32"/>
  <c r="Y191" i="32"/>
  <c r="Y190" i="32"/>
  <c r="Y189" i="32"/>
  <c r="Y188" i="32"/>
  <c r="Y187" i="32"/>
  <c r="Y186" i="32"/>
  <c r="Y185" i="32"/>
  <c r="Y184" i="32"/>
  <c r="Y183" i="32"/>
  <c r="Y182" i="32"/>
  <c r="Y181" i="32"/>
  <c r="Y180" i="32"/>
  <c r="Y179" i="32"/>
  <c r="Y178" i="32"/>
  <c r="Y177" i="32"/>
  <c r="Y176" i="32"/>
  <c r="Y175" i="32"/>
  <c r="Y174" i="32"/>
  <c r="Y173" i="32"/>
  <c r="Y172" i="32"/>
  <c r="Y171" i="32"/>
  <c r="Y170" i="32"/>
  <c r="Y169" i="32"/>
  <c r="Y168" i="32"/>
  <c r="Y167" i="32"/>
  <c r="Y166" i="32"/>
  <c r="Y165" i="32"/>
  <c r="Y164" i="32"/>
  <c r="Y163" i="32"/>
  <c r="Y162" i="32"/>
  <c r="Y161" i="32"/>
  <c r="Y160" i="32"/>
  <c r="Y159" i="32"/>
  <c r="Y158" i="32"/>
  <c r="Y157" i="32"/>
  <c r="Y156" i="32"/>
  <c r="Y155" i="32"/>
  <c r="Y154" i="32"/>
  <c r="Y153" i="32"/>
  <c r="Y152" i="32"/>
  <c r="Y151" i="32"/>
  <c r="Y150" i="32"/>
  <c r="Y149" i="32"/>
  <c r="Y148" i="32"/>
  <c r="Y147" i="32"/>
  <c r="Y146" i="32"/>
  <c r="Y145" i="32"/>
  <c r="Y144" i="32"/>
  <c r="Y143" i="32"/>
  <c r="Y142" i="32"/>
  <c r="Y141" i="32"/>
  <c r="Y140" i="32"/>
  <c r="Y139" i="32"/>
  <c r="Y138" i="32"/>
  <c r="Y137" i="32"/>
  <c r="Y136" i="32"/>
  <c r="Y135" i="32"/>
  <c r="Y134" i="32"/>
  <c r="Y133" i="32"/>
  <c r="Y132" i="32"/>
  <c r="Y131" i="32"/>
  <c r="Y130" i="32"/>
  <c r="Y129" i="32"/>
  <c r="Y128" i="32"/>
  <c r="Y127" i="32"/>
  <c r="Y126" i="32"/>
  <c r="Y125" i="32"/>
  <c r="Y124" i="32"/>
  <c r="Y123" i="32"/>
  <c r="Y122" i="32"/>
  <c r="Y121" i="32"/>
  <c r="Y120" i="32"/>
  <c r="Y119" i="32"/>
  <c r="Y118" i="32"/>
  <c r="Y117" i="32"/>
  <c r="Y116" i="32"/>
  <c r="Y115" i="32"/>
  <c r="Y114" i="32"/>
  <c r="Y113" i="32"/>
  <c r="Y112" i="32"/>
  <c r="Y111" i="32"/>
  <c r="Y110" i="32"/>
  <c r="Y109" i="32"/>
  <c r="Y108" i="32"/>
  <c r="Y107" i="32"/>
  <c r="Y106" i="32"/>
  <c r="Y105" i="32"/>
  <c r="Y104" i="32"/>
  <c r="Y103" i="32"/>
  <c r="Y102" i="32"/>
  <c r="Y101" i="32"/>
  <c r="Y100" i="32"/>
  <c r="Y99" i="32"/>
  <c r="Y98" i="32"/>
  <c r="Y97" i="32"/>
  <c r="Y96" i="32"/>
  <c r="Y95" i="32"/>
  <c r="Y94" i="32"/>
  <c r="Y93" i="32"/>
  <c r="Y92" i="32"/>
  <c r="Y91" i="32"/>
  <c r="Y90" i="32"/>
  <c r="Y89" i="32"/>
  <c r="Y88" i="32"/>
  <c r="Y87" i="32"/>
  <c r="Y86" i="32"/>
  <c r="Y85" i="32"/>
  <c r="Y84" i="32"/>
  <c r="Y83" i="32"/>
  <c r="Y82" i="32"/>
  <c r="Y81" i="32"/>
  <c r="Y80" i="32"/>
  <c r="Y79" i="32"/>
  <c r="Y78" i="32"/>
  <c r="Y77" i="32"/>
  <c r="Y76" i="32"/>
  <c r="Y75" i="32"/>
  <c r="Y74" i="32"/>
  <c r="Y73" i="32"/>
  <c r="Y72" i="32"/>
  <c r="Y71" i="32"/>
  <c r="Y70" i="32"/>
  <c r="Y69" i="32"/>
  <c r="Y68" i="32"/>
  <c r="Y67" i="32"/>
  <c r="Y66" i="32"/>
  <c r="Y65" i="32"/>
  <c r="Y64" i="32"/>
  <c r="Y63" i="32"/>
  <c r="Y62" i="32"/>
  <c r="Y61" i="32"/>
  <c r="Y60" i="32"/>
  <c r="Y59" i="32"/>
  <c r="Y58" i="32"/>
  <c r="Y57" i="32"/>
  <c r="Y56" i="32"/>
  <c r="Y55" i="32"/>
  <c r="Y54" i="32"/>
  <c r="Y53" i="32"/>
  <c r="Y52" i="32"/>
  <c r="Y51" i="32"/>
  <c r="Y50" i="32"/>
  <c r="Y49" i="32"/>
  <c r="Y48" i="32"/>
  <c r="Y47" i="32"/>
  <c r="Y46" i="32"/>
  <c r="Y45" i="32"/>
  <c r="Y44" i="32"/>
  <c r="Y43" i="32"/>
  <c r="Y42" i="32"/>
  <c r="Y41" i="32"/>
  <c r="Y40" i="32"/>
  <c r="Y39" i="32"/>
  <c r="Y38" i="32"/>
  <c r="Y37" i="32"/>
  <c r="Y36" i="32"/>
  <c r="Y35" i="32"/>
  <c r="Y34" i="32"/>
  <c r="Y33" i="32"/>
  <c r="Y32" i="32"/>
  <c r="Y31" i="32"/>
  <c r="Y30" i="32"/>
  <c r="Y29" i="32"/>
  <c r="Y28" i="32"/>
  <c r="Y27" i="32"/>
  <c r="Y20" i="32"/>
  <c r="Y18" i="32"/>
  <c r="Y17" i="32"/>
  <c r="Y16" i="32"/>
  <c r="Y15" i="32"/>
  <c r="Y14" i="32"/>
  <c r="N13" i="32"/>
  <c r="Y12" i="32"/>
  <c r="Y3" i="32"/>
  <c r="Y2" i="32"/>
  <c r="O63" i="26"/>
  <c r="O64" i="26" s="1"/>
  <c r="B46" i="26"/>
  <c r="B42" i="26"/>
  <c r="H35" i="26"/>
  <c r="B34" i="26"/>
  <c r="I35" i="26" s="1"/>
  <c r="A34" i="26"/>
  <c r="A32" i="26"/>
  <c r="X30" i="26"/>
  <c r="W30" i="26"/>
  <c r="D30" i="26"/>
  <c r="A30" i="26"/>
  <c r="A26" i="26"/>
  <c r="F25" i="26"/>
  <c r="X25" i="26" s="1"/>
  <c r="B25" i="26"/>
  <c r="A25" i="26"/>
  <c r="A24" i="26"/>
  <c r="F17" i="26"/>
  <c r="X17" i="26" s="1"/>
  <c r="A17" i="26"/>
  <c r="H16" i="26"/>
  <c r="D16" i="26"/>
  <c r="B15" i="26"/>
  <c r="I16" i="26" s="1"/>
  <c r="A14" i="26"/>
  <c r="W13" i="26"/>
  <c r="F13" i="26"/>
  <c r="X13" i="26" s="1"/>
  <c r="B13" i="26"/>
  <c r="A13" i="26"/>
  <c r="F12" i="26"/>
  <c r="D12" i="26"/>
  <c r="B12" i="26"/>
  <c r="A12" i="26"/>
  <c r="X10" i="26"/>
  <c r="F10" i="26"/>
  <c r="D10" i="26"/>
  <c r="D9" i="26" s="1"/>
  <c r="A10" i="26"/>
  <c r="Y6" i="26"/>
  <c r="Y5" i="26"/>
  <c r="B44" i="25"/>
  <c r="D26" i="26" s="1"/>
  <c r="D23" i="26" s="1"/>
  <c r="F39" i="25"/>
  <c r="F35" i="25"/>
  <c r="Q35" i="25" s="1"/>
  <c r="Q34" i="25"/>
  <c r="P34" i="25"/>
  <c r="D34" i="25"/>
  <c r="F30" i="25"/>
  <c r="Q30" i="25" s="1"/>
  <c r="P30" i="25" s="1"/>
  <c r="D29" i="25"/>
  <c r="D14" i="26" s="1"/>
  <c r="Q28" i="25"/>
  <c r="F28" i="25"/>
  <c r="P28" i="25" s="1"/>
  <c r="B28" i="25"/>
  <c r="F27" i="25"/>
  <c r="P27" i="25" s="1"/>
  <c r="B27" i="25"/>
  <c r="B25" i="25" s="1"/>
  <c r="F26" i="25"/>
  <c r="P26" i="25" s="1"/>
  <c r="Q23" i="25"/>
  <c r="F23" i="25"/>
  <c r="P23" i="25" s="1"/>
  <c r="F22" i="25"/>
  <c r="P22" i="25" s="1"/>
  <c r="F21" i="25"/>
  <c r="Q21" i="25" s="1"/>
  <c r="D21" i="25"/>
  <c r="B21" i="25"/>
  <c r="F17" i="25"/>
  <c r="Q17" i="25" s="1"/>
  <c r="F16" i="25"/>
  <c r="G16" i="25" s="1"/>
  <c r="E16" i="25" s="1"/>
  <c r="D15" i="25"/>
  <c r="F14" i="25"/>
  <c r="Q14" i="25" s="1"/>
  <c r="P14" i="25" s="1"/>
  <c r="B14" i="25"/>
  <c r="F12" i="25"/>
  <c r="F33" i="26" s="1"/>
  <c r="X33" i="26" s="1"/>
  <c r="F11" i="25"/>
  <c r="P11" i="25" s="1"/>
  <c r="F9" i="25"/>
  <c r="P9" i="25" s="1"/>
  <c r="F8" i="25"/>
  <c r="F36" i="26" s="1"/>
  <c r="X36" i="26" s="1"/>
  <c r="F7" i="25"/>
  <c r="P7" i="25" s="1"/>
  <c r="F6" i="25"/>
  <c r="P6" i="25" s="1"/>
  <c r="R3" i="25"/>
  <c r="F3" i="25"/>
  <c r="F5" i="26" s="1"/>
  <c r="W5" i="26" s="1"/>
  <c r="D3" i="25"/>
  <c r="E26" i="25" s="1"/>
  <c r="E25" i="25" s="1"/>
  <c r="B3" i="25"/>
  <c r="C22" i="25" s="1"/>
  <c r="Z150" i="15"/>
  <c r="X150" i="15"/>
  <c r="V150" i="15"/>
  <c r="T150" i="15"/>
  <c r="R150" i="15"/>
  <c r="P150" i="15"/>
  <c r="N150" i="15"/>
  <c r="L150" i="15"/>
  <c r="J150" i="15"/>
  <c r="H150" i="15"/>
  <c r="F150" i="15"/>
  <c r="D150" i="15"/>
  <c r="B150" i="15"/>
  <c r="Z148" i="15"/>
  <c r="X148" i="15"/>
  <c r="V148" i="15"/>
  <c r="T148" i="15"/>
  <c r="R148" i="15"/>
  <c r="P148" i="15"/>
  <c r="N148" i="15"/>
  <c r="L148" i="15"/>
  <c r="J148" i="15"/>
  <c r="H148" i="15"/>
  <c r="F148" i="15"/>
  <c r="D148" i="15"/>
  <c r="B148" i="15"/>
  <c r="Z146" i="15"/>
  <c r="X146" i="15"/>
  <c r="V146" i="15"/>
  <c r="T146" i="15"/>
  <c r="R146" i="15"/>
  <c r="P146" i="15"/>
  <c r="N146" i="15"/>
  <c r="L146" i="15"/>
  <c r="J146" i="15"/>
  <c r="H146" i="15"/>
  <c r="F146" i="15"/>
  <c r="D146" i="15"/>
  <c r="B146" i="15"/>
  <c r="Z142" i="15"/>
  <c r="X142" i="15"/>
  <c r="V142" i="15"/>
  <c r="T142" i="15"/>
  <c r="R142" i="15"/>
  <c r="P142" i="15"/>
  <c r="N142" i="15"/>
  <c r="L142" i="15"/>
  <c r="J142" i="15"/>
  <c r="H142" i="15"/>
  <c r="F142" i="15"/>
  <c r="D142" i="15"/>
  <c r="B142" i="15"/>
  <c r="Z138" i="15"/>
  <c r="X138" i="15"/>
  <c r="V138" i="15"/>
  <c r="T138" i="15"/>
  <c r="R138" i="15"/>
  <c r="P138" i="15"/>
  <c r="N138" i="15"/>
  <c r="L138" i="15"/>
  <c r="J138" i="15"/>
  <c r="H138" i="15"/>
  <c r="F138" i="15"/>
  <c r="D138" i="15"/>
  <c r="B138" i="15"/>
  <c r="B2" i="27"/>
  <c r="D2" i="27"/>
  <c r="D16" i="25" l="1"/>
  <c r="C16" i="25" s="1"/>
  <c r="B16" i="25" s="1"/>
  <c r="E23" i="25"/>
  <c r="D12" i="17"/>
  <c r="J12" i="17" s="1"/>
  <c r="E34" i="25"/>
  <c r="B16" i="17"/>
  <c r="J18" i="17"/>
  <c r="I18" i="17" s="1"/>
  <c r="K19" i="17"/>
  <c r="K20" i="17"/>
  <c r="L29" i="17"/>
  <c r="J33" i="17"/>
  <c r="K49" i="17"/>
  <c r="J49" i="17" s="1"/>
  <c r="H55" i="17"/>
  <c r="J56" i="17"/>
  <c r="P26" i="27"/>
  <c r="P3" i="25"/>
  <c r="D4" i="25"/>
  <c r="G9" i="25"/>
  <c r="Q9" i="25"/>
  <c r="G11" i="25"/>
  <c r="R11" i="25" s="1"/>
  <c r="Q11" i="25"/>
  <c r="P12" i="25"/>
  <c r="E14" i="25"/>
  <c r="G14" i="25"/>
  <c r="P17" i="25"/>
  <c r="F18" i="25"/>
  <c r="P18" i="25" s="1"/>
  <c r="C21" i="25"/>
  <c r="E22" i="25"/>
  <c r="G22" i="25"/>
  <c r="Q22" i="25"/>
  <c r="C23" i="25"/>
  <c r="C26" i="25"/>
  <c r="C25" i="25" s="1"/>
  <c r="G30" i="25"/>
  <c r="D35" i="25"/>
  <c r="P35" i="25"/>
  <c r="B5" i="26"/>
  <c r="B19" i="26" s="1"/>
  <c r="W25" i="26"/>
  <c r="F28" i="26"/>
  <c r="Y13" i="32"/>
  <c r="B15" i="17"/>
  <c r="B47" i="17" s="1"/>
  <c r="B50" i="17" s="1"/>
  <c r="L17" i="17"/>
  <c r="L18" i="17"/>
  <c r="L22" i="17"/>
  <c r="K22" i="17" s="1"/>
  <c r="L23" i="17"/>
  <c r="L26" i="17"/>
  <c r="L28" i="17"/>
  <c r="L30" i="17"/>
  <c r="I32" i="17"/>
  <c r="G34" i="17"/>
  <c r="H34" i="17" s="1"/>
  <c r="L35" i="17"/>
  <c r="I37" i="17"/>
  <c r="M53" i="17"/>
  <c r="K56" i="17"/>
  <c r="Q3" i="25"/>
  <c r="B4" i="25"/>
  <c r="G6" i="25"/>
  <c r="Q6" i="25"/>
  <c r="Q12" i="25"/>
  <c r="C14" i="25"/>
  <c r="G15" i="25"/>
  <c r="E15" i="25" s="1"/>
  <c r="E21" i="25"/>
  <c r="P21" i="25"/>
  <c r="G23" i="25"/>
  <c r="R23" i="25" s="1"/>
  <c r="G27" i="25"/>
  <c r="G28" i="25"/>
  <c r="G34" i="25"/>
  <c r="C12" i="26"/>
  <c r="G12" i="26"/>
  <c r="B16" i="26"/>
  <c r="L13" i="17"/>
  <c r="N13" i="17" s="1"/>
  <c r="I17" i="17"/>
  <c r="H17" i="17"/>
  <c r="K24" i="17"/>
  <c r="L31" i="17"/>
  <c r="K32" i="17"/>
  <c r="J32" i="17" s="1"/>
  <c r="G33" i="17"/>
  <c r="I33" i="17" s="1"/>
  <c r="H33" i="17" s="1"/>
  <c r="I36" i="17"/>
  <c r="J37" i="17"/>
  <c r="K40" i="17"/>
  <c r="J41" i="17"/>
  <c r="J42" i="17"/>
  <c r="I42" i="17" s="1"/>
  <c r="G49" i="17"/>
  <c r="I49" i="17" s="1"/>
  <c r="H49" i="17" s="1"/>
  <c r="K55" i="17"/>
  <c r="J55" i="17" s="1"/>
  <c r="I55" i="17" s="1"/>
  <c r="G56" i="17"/>
  <c r="H56" i="17" s="1"/>
  <c r="D25" i="25"/>
  <c r="D36" i="27"/>
  <c r="E36" i="27" s="1"/>
  <c r="F20" i="27"/>
  <c r="S20" i="27" s="1"/>
  <c r="E7" i="17"/>
  <c r="K7" i="17" s="1"/>
  <c r="B46" i="25"/>
  <c r="F10" i="25" s="1"/>
  <c r="P10" i="25" s="1"/>
  <c r="B44" i="27"/>
  <c r="I45" i="27" s="1"/>
  <c r="X12" i="26"/>
  <c r="E20" i="27"/>
  <c r="C34" i="27"/>
  <c r="B47" i="25"/>
  <c r="W12" i="26"/>
  <c r="K8" i="17"/>
  <c r="B17" i="27"/>
  <c r="E32" i="25"/>
  <c r="D32" i="25" s="1"/>
  <c r="X5" i="26"/>
  <c r="B36" i="27"/>
  <c r="C6" i="25"/>
  <c r="E6" i="25"/>
  <c r="G18" i="25"/>
  <c r="R18" i="25" s="1"/>
  <c r="Q18" i="25" s="1"/>
  <c r="R6" i="25"/>
  <c r="G33" i="26"/>
  <c r="W33" i="26"/>
  <c r="F47" i="27"/>
  <c r="F37" i="26"/>
  <c r="X28" i="26"/>
  <c r="G28" i="26"/>
  <c r="K11" i="17"/>
  <c r="G11" i="17"/>
  <c r="M49" i="17"/>
  <c r="M44" i="17"/>
  <c r="M34" i="17"/>
  <c r="M25" i="17"/>
  <c r="M55" i="17"/>
  <c r="M39" i="17"/>
  <c r="M33" i="17"/>
  <c r="M32" i="17"/>
  <c r="M20" i="17"/>
  <c r="M19" i="17"/>
  <c r="M40" i="17"/>
  <c r="J11" i="17"/>
  <c r="G7" i="25"/>
  <c r="E9" i="25"/>
  <c r="D9" i="25" s="1"/>
  <c r="C11" i="25"/>
  <c r="B11" i="25" s="1"/>
  <c r="F25" i="25"/>
  <c r="G26" i="25"/>
  <c r="R27" i="25"/>
  <c r="Q27" i="25" s="1"/>
  <c r="E35" i="25"/>
  <c r="G10" i="26"/>
  <c r="G17" i="26"/>
  <c r="G25" i="26"/>
  <c r="W36" i="26"/>
  <c r="G36" i="26" s="1"/>
  <c r="K6" i="17"/>
  <c r="M22" i="17"/>
  <c r="N22" i="17" s="1"/>
  <c r="M28" i="17"/>
  <c r="M45" i="17"/>
  <c r="K13" i="17"/>
  <c r="G13" i="17"/>
  <c r="F7" i="26"/>
  <c r="J13" i="17"/>
  <c r="Q7" i="25"/>
  <c r="Q26" i="25"/>
  <c r="C34" i="26"/>
  <c r="F58" i="26"/>
  <c r="E14" i="17"/>
  <c r="M23" i="17"/>
  <c r="N23" i="17" s="1"/>
  <c r="M26" i="17"/>
  <c r="M29" i="17"/>
  <c r="M35" i="17"/>
  <c r="C27" i="25"/>
  <c r="F27" i="26"/>
  <c r="E11" i="25"/>
  <c r="D11" i="25" s="1"/>
  <c r="G12" i="25"/>
  <c r="R14" i="25"/>
  <c r="G17" i="25"/>
  <c r="C28" i="25"/>
  <c r="B30" i="25"/>
  <c r="C30" i="25" s="1"/>
  <c r="G35" i="25"/>
  <c r="B1" i="26"/>
  <c r="D5" i="26"/>
  <c r="E14" i="26" s="1"/>
  <c r="B6" i="26"/>
  <c r="F9" i="26"/>
  <c r="W10" i="26"/>
  <c r="G13" i="26"/>
  <c r="Y13" i="26" s="1"/>
  <c r="C15" i="26"/>
  <c r="C16" i="26"/>
  <c r="W17" i="26"/>
  <c r="F19" i="26"/>
  <c r="Y25" i="26"/>
  <c r="B27" i="26"/>
  <c r="W28" i="26"/>
  <c r="K12" i="17"/>
  <c r="M31" i="17"/>
  <c r="M51" i="17"/>
  <c r="G30" i="26"/>
  <c r="J9" i="17"/>
  <c r="G12" i="17"/>
  <c r="I12" i="17" s="1"/>
  <c r="J19" i="17"/>
  <c r="I19" i="17" s="1"/>
  <c r="J20" i="17"/>
  <c r="I20" i="17" s="1"/>
  <c r="J24" i="17"/>
  <c r="K25" i="17"/>
  <c r="M30" i="17"/>
  <c r="G31" i="17"/>
  <c r="I31" i="17" s="1"/>
  <c r="K31" i="17"/>
  <c r="K34" i="17"/>
  <c r="J34" i="17" s="1"/>
  <c r="I34" i="17" s="1"/>
  <c r="J36" i="17"/>
  <c r="M37" i="17"/>
  <c r="M38" i="17"/>
  <c r="J39" i="17"/>
  <c r="M41" i="17"/>
  <c r="M42" i="17"/>
  <c r="J44" i="17"/>
  <c r="I44" i="17" s="1"/>
  <c r="G51" i="17"/>
  <c r="I51" i="17" s="1"/>
  <c r="K51" i="17"/>
  <c r="G53" i="17"/>
  <c r="I53" i="17" s="1"/>
  <c r="K53" i="17"/>
  <c r="I56" i="17"/>
  <c r="M56" i="17"/>
  <c r="F6" i="27"/>
  <c r="B1" i="27" s="1"/>
  <c r="B7" i="27"/>
  <c r="D11" i="27"/>
  <c r="E11" i="27" s="1"/>
  <c r="D13" i="27"/>
  <c r="D15" i="27"/>
  <c r="E15" i="27" s="1"/>
  <c r="D17" i="27"/>
  <c r="B22" i="27"/>
  <c r="E35" i="27"/>
  <c r="J22" i="17"/>
  <c r="K23" i="17"/>
  <c r="M24" i="17"/>
  <c r="N24" i="17" s="1"/>
  <c r="K26" i="17"/>
  <c r="J26" i="17" s="1"/>
  <c r="K28" i="17"/>
  <c r="K29" i="17"/>
  <c r="N31" i="17"/>
  <c r="H32" i="17"/>
  <c r="K35" i="17"/>
  <c r="J35" i="17" s="1"/>
  <c r="H37" i="17"/>
  <c r="L37" i="17"/>
  <c r="L38" i="17"/>
  <c r="L40" i="17"/>
  <c r="N40" i="17" s="1"/>
  <c r="L41" i="17"/>
  <c r="L42" i="17"/>
  <c r="M43" i="17"/>
  <c r="L45" i="17"/>
  <c r="J45" i="17" s="1"/>
  <c r="J51" i="17"/>
  <c r="J53" i="17"/>
  <c r="L56" i="17"/>
  <c r="D8" i="27"/>
  <c r="E14" i="27"/>
  <c r="D19" i="27"/>
  <c r="C19" i="27" s="1"/>
  <c r="B19" i="27" s="1"/>
  <c r="Y12" i="26"/>
  <c r="C25" i="26"/>
  <c r="H13" i="17"/>
  <c r="D14" i="17"/>
  <c r="K18" i="17"/>
  <c r="L19" i="17"/>
  <c r="N19" i="17" s="1"/>
  <c r="L20" i="17"/>
  <c r="N20" i="17" s="1"/>
  <c r="J23" i="17"/>
  <c r="I23" i="17" s="1"/>
  <c r="L24" i="17"/>
  <c r="N26" i="17"/>
  <c r="J28" i="17"/>
  <c r="N28" i="17"/>
  <c r="J29" i="17"/>
  <c r="I29" i="17" s="1"/>
  <c r="K30" i="17"/>
  <c r="L32" i="17"/>
  <c r="L33" i="17"/>
  <c r="K33" i="17" s="1"/>
  <c r="I35" i="17"/>
  <c r="H35" i="17" s="1"/>
  <c r="N35" i="17"/>
  <c r="H36" i="17"/>
  <c r="M36" i="17"/>
  <c r="K37" i="17"/>
  <c r="K38" i="17"/>
  <c r="L39" i="17"/>
  <c r="N39" i="17" s="1"/>
  <c r="K41" i="17"/>
  <c r="K42" i="17"/>
  <c r="L43" i="17"/>
  <c r="K43" i="17" s="1"/>
  <c r="L55" i="17"/>
  <c r="N55" i="17" s="1"/>
  <c r="D1" i="27"/>
  <c r="C20" i="27"/>
  <c r="E40" i="27"/>
  <c r="E15" i="17"/>
  <c r="E17" i="17"/>
  <c r="E21" i="17"/>
  <c r="G22" i="17"/>
  <c r="H23" i="17"/>
  <c r="G24" i="17"/>
  <c r="I24" i="17" s="1"/>
  <c r="L25" i="17"/>
  <c r="G26" i="17"/>
  <c r="H29" i="17"/>
  <c r="N29" i="17"/>
  <c r="H31" i="17"/>
  <c r="L34" i="17"/>
  <c r="N34" i="17" s="1"/>
  <c r="L36" i="17"/>
  <c r="K36" i="17" s="1"/>
  <c r="N37" i="17"/>
  <c r="N38" i="17"/>
  <c r="K39" i="17"/>
  <c r="N41" i="17"/>
  <c r="N42" i="17"/>
  <c r="L44" i="17"/>
  <c r="K44" i="17" s="1"/>
  <c r="N45" i="17"/>
  <c r="L49" i="17"/>
  <c r="N49" i="17" s="1"/>
  <c r="H51" i="17"/>
  <c r="L51" i="17"/>
  <c r="H53" i="17"/>
  <c r="L53" i="17"/>
  <c r="N53" i="17" s="1"/>
  <c r="B8" i="27"/>
  <c r="D22" i="27"/>
  <c r="Z134" i="15"/>
  <c r="X134" i="15"/>
  <c r="V134" i="15"/>
  <c r="T134" i="15"/>
  <c r="R134" i="15"/>
  <c r="P134" i="15"/>
  <c r="N134" i="15"/>
  <c r="L134" i="15"/>
  <c r="J134" i="15"/>
  <c r="H134" i="15"/>
  <c r="F134" i="15"/>
  <c r="D134" i="15"/>
  <c r="B134" i="15"/>
  <c r="Z133" i="15"/>
  <c r="X133" i="15"/>
  <c r="V133" i="15"/>
  <c r="T133" i="15"/>
  <c r="R133" i="15"/>
  <c r="P133" i="15"/>
  <c r="N133" i="15"/>
  <c r="L133" i="15"/>
  <c r="J133" i="15"/>
  <c r="H133" i="15"/>
  <c r="F133" i="15"/>
  <c r="D133" i="15"/>
  <c r="B133" i="15"/>
  <c r="Z132" i="15"/>
  <c r="X132" i="15"/>
  <c r="V132" i="15"/>
  <c r="T132" i="15"/>
  <c r="R132" i="15"/>
  <c r="P132" i="15"/>
  <c r="N132" i="15"/>
  <c r="L132" i="15"/>
  <c r="J132" i="15"/>
  <c r="H132" i="15"/>
  <c r="F132" i="15"/>
  <c r="D132" i="15"/>
  <c r="B132" i="15"/>
  <c r="Z131" i="15"/>
  <c r="X131" i="15"/>
  <c r="V131" i="15"/>
  <c r="T131" i="15"/>
  <c r="R131" i="15"/>
  <c r="P131" i="15"/>
  <c r="N131" i="15"/>
  <c r="L131" i="15"/>
  <c r="J131" i="15"/>
  <c r="H131" i="15"/>
  <c r="F131" i="15"/>
  <c r="D131" i="15"/>
  <c r="B131" i="15"/>
  <c r="Z130" i="15"/>
  <c r="X130" i="15"/>
  <c r="V130" i="15"/>
  <c r="T130" i="15"/>
  <c r="R130" i="15"/>
  <c r="P130" i="15"/>
  <c r="N130" i="15"/>
  <c r="L130" i="15"/>
  <c r="J130" i="15"/>
  <c r="H130" i="15"/>
  <c r="F130" i="15"/>
  <c r="D130" i="15"/>
  <c r="B130" i="15"/>
  <c r="Z129" i="15"/>
  <c r="X129" i="15"/>
  <c r="V129" i="15"/>
  <c r="T129" i="15"/>
  <c r="R129" i="15"/>
  <c r="P129" i="15"/>
  <c r="N129" i="15"/>
  <c r="L129" i="15"/>
  <c r="J129" i="15"/>
  <c r="H129" i="15"/>
  <c r="F129" i="15"/>
  <c r="D129" i="15"/>
  <c r="B129" i="15"/>
  <c r="Z128" i="15"/>
  <c r="X128" i="15"/>
  <c r="V128" i="15"/>
  <c r="T128" i="15"/>
  <c r="R128" i="15"/>
  <c r="P128" i="15"/>
  <c r="N128" i="15"/>
  <c r="L128" i="15"/>
  <c r="J128" i="15"/>
  <c r="H128" i="15"/>
  <c r="F128" i="15"/>
  <c r="D128" i="15"/>
  <c r="B128" i="15"/>
  <c r="Z127" i="15"/>
  <c r="X127" i="15"/>
  <c r="V127" i="15"/>
  <c r="T127" i="15"/>
  <c r="R127" i="15"/>
  <c r="P127" i="15"/>
  <c r="N127" i="15"/>
  <c r="L127" i="15"/>
  <c r="J127" i="15"/>
  <c r="H127" i="15"/>
  <c r="F127" i="15"/>
  <c r="D127" i="15"/>
  <c r="B127" i="15"/>
  <c r="Z125" i="15"/>
  <c r="X125" i="15"/>
  <c r="V125" i="15"/>
  <c r="T125" i="15"/>
  <c r="R125" i="15"/>
  <c r="P125" i="15"/>
  <c r="N125" i="15"/>
  <c r="L125" i="15"/>
  <c r="J125" i="15"/>
  <c r="H125" i="15"/>
  <c r="F125" i="15"/>
  <c r="D125" i="15"/>
  <c r="B125" i="15"/>
  <c r="Z124" i="15"/>
  <c r="X124" i="15"/>
  <c r="V124" i="15"/>
  <c r="T124" i="15"/>
  <c r="R124" i="15"/>
  <c r="P124" i="15"/>
  <c r="N124" i="15"/>
  <c r="L124" i="15"/>
  <c r="J124" i="15"/>
  <c r="H124" i="15"/>
  <c r="F124" i="15"/>
  <c r="D124" i="15"/>
  <c r="B124" i="15"/>
  <c r="Z123" i="15"/>
  <c r="X123" i="15"/>
  <c r="V123" i="15"/>
  <c r="T123" i="15"/>
  <c r="R123" i="15"/>
  <c r="P123" i="15"/>
  <c r="N123" i="15"/>
  <c r="L123" i="15"/>
  <c r="J123" i="15"/>
  <c r="H123" i="15"/>
  <c r="F123" i="15"/>
  <c r="D123" i="15"/>
  <c r="B123" i="15"/>
  <c r="Z122" i="15"/>
  <c r="X122" i="15"/>
  <c r="V122" i="15"/>
  <c r="T122" i="15"/>
  <c r="R122" i="15"/>
  <c r="P122" i="15"/>
  <c r="N122" i="15"/>
  <c r="L122" i="15"/>
  <c r="J122" i="15"/>
  <c r="H122" i="15"/>
  <c r="F122" i="15"/>
  <c r="D122" i="15"/>
  <c r="B122" i="15"/>
  <c r="Z121" i="15"/>
  <c r="X121" i="15"/>
  <c r="V121" i="15"/>
  <c r="T121" i="15"/>
  <c r="R121" i="15"/>
  <c r="P121" i="15"/>
  <c r="N121" i="15"/>
  <c r="L121" i="15"/>
  <c r="J121" i="15"/>
  <c r="H121" i="15"/>
  <c r="F121" i="15"/>
  <c r="D121" i="15"/>
  <c r="B121" i="15"/>
  <c r="Z120" i="15"/>
  <c r="X120" i="15"/>
  <c r="V120" i="15"/>
  <c r="T120" i="15"/>
  <c r="R120" i="15"/>
  <c r="P120" i="15"/>
  <c r="N120" i="15"/>
  <c r="L120" i="15"/>
  <c r="J120" i="15"/>
  <c r="H120" i="15"/>
  <c r="F120" i="15"/>
  <c r="D120" i="15"/>
  <c r="B120" i="15"/>
  <c r="Z119" i="15"/>
  <c r="X119" i="15"/>
  <c r="V119" i="15"/>
  <c r="T119" i="15"/>
  <c r="R119" i="15"/>
  <c r="P119" i="15"/>
  <c r="N119" i="15"/>
  <c r="L119" i="15"/>
  <c r="J119" i="15"/>
  <c r="H119" i="15"/>
  <c r="F119" i="15"/>
  <c r="D119" i="15"/>
  <c r="B119" i="15"/>
  <c r="N44" i="17" l="1"/>
  <c r="N32" i="17"/>
  <c r="N25" i="17"/>
  <c r="R34" i="25"/>
  <c r="N36" i="17"/>
  <c r="H24" i="17"/>
  <c r="N43" i="17"/>
  <c r="R22" i="25"/>
  <c r="G21" i="25"/>
  <c r="R21" i="25" s="1"/>
  <c r="R9" i="25"/>
  <c r="C9" i="25"/>
  <c r="B9" i="25" s="1"/>
  <c r="G8" i="25" s="1"/>
  <c r="F44" i="27"/>
  <c r="S44" i="27" s="1"/>
  <c r="G44" i="27" s="1"/>
  <c r="G10" i="25"/>
  <c r="E10" i="25" s="1"/>
  <c r="D10" i="25" s="1"/>
  <c r="C10" i="25" s="1"/>
  <c r="B10" i="25" s="1"/>
  <c r="Q10" i="25"/>
  <c r="G7" i="17"/>
  <c r="G10" i="17" s="1"/>
  <c r="E10" i="17"/>
  <c r="J10" i="17" s="1"/>
  <c r="J7" i="17"/>
  <c r="F1" i="27"/>
  <c r="F21" i="26"/>
  <c r="X21" i="26" s="1"/>
  <c r="B118" i="15"/>
  <c r="P118" i="15"/>
  <c r="J118" i="15"/>
  <c r="D118" i="15"/>
  <c r="T118" i="15"/>
  <c r="X118" i="15"/>
  <c r="F118" i="15"/>
  <c r="R118" i="15"/>
  <c r="Z118" i="15"/>
  <c r="V118" i="15"/>
  <c r="L118" i="15"/>
  <c r="H118" i="15"/>
  <c r="N118" i="15"/>
  <c r="E12" i="25"/>
  <c r="D12" i="25" s="1"/>
  <c r="C12" i="25"/>
  <c r="B12" i="25" s="1"/>
  <c r="R12" i="25"/>
  <c r="C7" i="25"/>
  <c r="B7" i="25" s="1"/>
  <c r="R7" i="25"/>
  <c r="E7" i="25"/>
  <c r="D7" i="25" s="1"/>
  <c r="I22" i="17"/>
  <c r="H22" i="17" s="1"/>
  <c r="G15" i="17"/>
  <c r="G21" i="17"/>
  <c r="K15" i="17"/>
  <c r="M15" i="17"/>
  <c r="J15" i="17"/>
  <c r="D47" i="17"/>
  <c r="L14" i="17"/>
  <c r="X9" i="26"/>
  <c r="W9" i="26"/>
  <c r="G9" i="26"/>
  <c r="Y9" i="26" s="1"/>
  <c r="Y10" i="26"/>
  <c r="Q25" i="25"/>
  <c r="P25" i="25"/>
  <c r="T47" i="27"/>
  <c r="G47" i="27"/>
  <c r="S47" i="27"/>
  <c r="C18" i="25"/>
  <c r="B6" i="25"/>
  <c r="H26" i="17"/>
  <c r="E12" i="26"/>
  <c r="D21" i="17"/>
  <c r="M21" i="17"/>
  <c r="K21" i="17"/>
  <c r="J17" i="17"/>
  <c r="K17" i="17"/>
  <c r="M17" i="17"/>
  <c r="N17" i="17" s="1"/>
  <c r="E16" i="17"/>
  <c r="Q28" i="27"/>
  <c r="Q24" i="27"/>
  <c r="Q26" i="27"/>
  <c r="Q23" i="27"/>
  <c r="H7" i="17"/>
  <c r="F36" i="27"/>
  <c r="C36" i="27"/>
  <c r="E17" i="25"/>
  <c r="D17" i="25" s="1"/>
  <c r="C17" i="25"/>
  <c r="B17" i="25" s="1"/>
  <c r="R17" i="25"/>
  <c r="C27" i="26"/>
  <c r="X27" i="26"/>
  <c r="W27" i="26"/>
  <c r="G27" i="26" s="1"/>
  <c r="Y36" i="26"/>
  <c r="E36" i="26"/>
  <c r="D36" i="26" s="1"/>
  <c r="C36" i="26"/>
  <c r="B36" i="26" s="1"/>
  <c r="G25" i="25"/>
  <c r="R26" i="25"/>
  <c r="E28" i="26"/>
  <c r="D28" i="26" s="1"/>
  <c r="Y28" i="26"/>
  <c r="C28" i="26"/>
  <c r="B28" i="26" s="1"/>
  <c r="Y27" i="26" s="1"/>
  <c r="G37" i="26"/>
  <c r="W37" i="26"/>
  <c r="X37" i="26"/>
  <c r="E18" i="25"/>
  <c r="D18" i="25" s="1"/>
  <c r="D38" i="25" s="1"/>
  <c r="D6" i="25"/>
  <c r="N33" i="17"/>
  <c r="W7" i="26"/>
  <c r="X7" i="26"/>
  <c r="G7" i="26"/>
  <c r="G14" i="17"/>
  <c r="H14" i="17" s="1"/>
  <c r="I11" i="17"/>
  <c r="F19" i="27"/>
  <c r="F17" i="27"/>
  <c r="F8" i="27"/>
  <c r="S6" i="27"/>
  <c r="T6" i="27"/>
  <c r="G40" i="27"/>
  <c r="F16" i="27"/>
  <c r="G15" i="27"/>
  <c r="G11" i="27"/>
  <c r="G19" i="26"/>
  <c r="W19" i="26"/>
  <c r="X19" i="26"/>
  <c r="D19" i="26"/>
  <c r="E19" i="26" s="1"/>
  <c r="D6" i="26"/>
  <c r="E26" i="26"/>
  <c r="D1" i="26"/>
  <c r="F1" i="26" s="1"/>
  <c r="E30" i="26"/>
  <c r="E10" i="26"/>
  <c r="E9" i="26" s="1"/>
  <c r="E13" i="26"/>
  <c r="C13" i="26" s="1"/>
  <c r="K14" i="17"/>
  <c r="E47" i="17"/>
  <c r="J14" i="17"/>
  <c r="M14" i="17"/>
  <c r="N14" i="17" s="1"/>
  <c r="I13" i="17"/>
  <c r="C33" i="26"/>
  <c r="B33" i="26" s="1"/>
  <c r="Y33" i="26"/>
  <c r="E33" i="26"/>
  <c r="D33" i="26" s="1"/>
  <c r="H11" i="17"/>
  <c r="I26" i="17"/>
  <c r="H12" i="17"/>
  <c r="G20" i="27"/>
  <c r="U20" i="27" s="1"/>
  <c r="T20" i="27" s="1"/>
  <c r="Z113" i="15"/>
  <c r="X113" i="15"/>
  <c r="V113" i="15"/>
  <c r="T113" i="15"/>
  <c r="R113" i="15"/>
  <c r="P113" i="15"/>
  <c r="N113" i="15"/>
  <c r="L113" i="15"/>
  <c r="J113" i="15"/>
  <c r="H113" i="15"/>
  <c r="F113" i="15"/>
  <c r="D113" i="15"/>
  <c r="B113" i="15"/>
  <c r="Z112" i="15"/>
  <c r="X112" i="15"/>
  <c r="V112" i="15"/>
  <c r="T112" i="15"/>
  <c r="R112" i="15"/>
  <c r="P112" i="15"/>
  <c r="N112" i="15"/>
  <c r="L112" i="15"/>
  <c r="J112" i="15"/>
  <c r="H112" i="15"/>
  <c r="F112" i="15"/>
  <c r="D112" i="15"/>
  <c r="B112" i="15"/>
  <c r="Z111" i="15"/>
  <c r="X111" i="15"/>
  <c r="V111" i="15"/>
  <c r="T111" i="15"/>
  <c r="R111" i="15"/>
  <c r="P111" i="15"/>
  <c r="N111" i="15"/>
  <c r="L111" i="15"/>
  <c r="J111" i="15"/>
  <c r="H111" i="15"/>
  <c r="F111" i="15"/>
  <c r="D111" i="15"/>
  <c r="B111" i="15"/>
  <c r="Z109" i="15"/>
  <c r="X109" i="15"/>
  <c r="V109" i="15"/>
  <c r="T109" i="15"/>
  <c r="R109" i="15"/>
  <c r="P109" i="15"/>
  <c r="N109" i="15"/>
  <c r="L109" i="15"/>
  <c r="J109" i="15"/>
  <c r="H109" i="15"/>
  <c r="F109" i="15"/>
  <c r="D109" i="15"/>
  <c r="B109" i="15"/>
  <c r="Z108" i="15"/>
  <c r="X108" i="15"/>
  <c r="V108" i="15"/>
  <c r="T108" i="15"/>
  <c r="R108" i="15"/>
  <c r="P108" i="15"/>
  <c r="N108" i="15"/>
  <c r="L108" i="15"/>
  <c r="J108" i="15"/>
  <c r="H108" i="15"/>
  <c r="F108" i="15"/>
  <c r="D108" i="15"/>
  <c r="B108" i="15"/>
  <c r="Z107" i="15"/>
  <c r="X107" i="15"/>
  <c r="V107" i="15"/>
  <c r="T107" i="15"/>
  <c r="R107" i="15"/>
  <c r="P107" i="15"/>
  <c r="N107" i="15"/>
  <c r="L107" i="15"/>
  <c r="J107" i="15"/>
  <c r="H107" i="15"/>
  <c r="F107" i="15"/>
  <c r="D107" i="15"/>
  <c r="B107" i="15"/>
  <c r="Z105" i="15"/>
  <c r="X105" i="15"/>
  <c r="V105" i="15"/>
  <c r="T105" i="15"/>
  <c r="R105" i="15"/>
  <c r="P105" i="15"/>
  <c r="N105" i="15"/>
  <c r="L105" i="15"/>
  <c r="J105" i="15"/>
  <c r="H105" i="15"/>
  <c r="F105" i="15"/>
  <c r="D105" i="15"/>
  <c r="B105" i="15"/>
  <c r="Z104" i="15"/>
  <c r="X104" i="15"/>
  <c r="V104" i="15"/>
  <c r="T104" i="15"/>
  <c r="R104" i="15"/>
  <c r="P104" i="15"/>
  <c r="N104" i="15"/>
  <c r="L104" i="15"/>
  <c r="J104" i="15"/>
  <c r="H104" i="15"/>
  <c r="F104" i="15"/>
  <c r="D104" i="15"/>
  <c r="B104" i="15"/>
  <c r="Z103" i="15"/>
  <c r="X103" i="15"/>
  <c r="V103" i="15"/>
  <c r="T103" i="15"/>
  <c r="R103" i="15"/>
  <c r="P103" i="15"/>
  <c r="N103" i="15"/>
  <c r="L103" i="15"/>
  <c r="J103" i="15"/>
  <c r="H103" i="15"/>
  <c r="F103" i="15"/>
  <c r="D103" i="15"/>
  <c r="B103" i="15"/>
  <c r="Z102" i="15"/>
  <c r="X102" i="15"/>
  <c r="V102" i="15"/>
  <c r="T102" i="15"/>
  <c r="R102" i="15"/>
  <c r="P102" i="15"/>
  <c r="N102" i="15"/>
  <c r="L102" i="15"/>
  <c r="J102" i="15"/>
  <c r="H102" i="15"/>
  <c r="F102" i="15"/>
  <c r="D102" i="15"/>
  <c r="B102" i="15"/>
  <c r="Z101" i="15"/>
  <c r="X101" i="15"/>
  <c r="V101" i="15"/>
  <c r="T101" i="15"/>
  <c r="R101" i="15"/>
  <c r="P101" i="15"/>
  <c r="N101" i="15"/>
  <c r="L101" i="15"/>
  <c r="J101" i="15"/>
  <c r="H101" i="15"/>
  <c r="F101" i="15"/>
  <c r="D101" i="15"/>
  <c r="B101" i="15"/>
  <c r="Z100" i="15"/>
  <c r="X100" i="15"/>
  <c r="V100" i="15"/>
  <c r="T100" i="15"/>
  <c r="R100" i="15"/>
  <c r="P100" i="15"/>
  <c r="N100" i="15"/>
  <c r="L100" i="15"/>
  <c r="J100" i="15"/>
  <c r="H100" i="15"/>
  <c r="F100" i="15"/>
  <c r="D100" i="15"/>
  <c r="B100" i="15"/>
  <c r="Z97" i="15"/>
  <c r="X97" i="15"/>
  <c r="V97" i="15"/>
  <c r="T97" i="15"/>
  <c r="R97" i="15"/>
  <c r="P97" i="15"/>
  <c r="N97" i="15"/>
  <c r="L97" i="15"/>
  <c r="J97" i="15"/>
  <c r="H97" i="15"/>
  <c r="F97" i="15"/>
  <c r="D97" i="15"/>
  <c r="B97" i="15"/>
  <c r="Z96" i="15"/>
  <c r="X96" i="15"/>
  <c r="V96" i="15"/>
  <c r="T96" i="15"/>
  <c r="R96" i="15"/>
  <c r="P96" i="15"/>
  <c r="N96" i="15"/>
  <c r="L96" i="15"/>
  <c r="J96" i="15"/>
  <c r="H96" i="15"/>
  <c r="F96" i="15"/>
  <c r="D96" i="15"/>
  <c r="B96" i="15"/>
  <c r="Z95" i="15"/>
  <c r="X95" i="15"/>
  <c r="V95" i="15"/>
  <c r="T95" i="15"/>
  <c r="R95" i="15"/>
  <c r="P95" i="15"/>
  <c r="N95" i="15"/>
  <c r="L95" i="15"/>
  <c r="J95" i="15"/>
  <c r="H95" i="15"/>
  <c r="F95" i="15"/>
  <c r="D95" i="15"/>
  <c r="B95" i="15"/>
  <c r="Z94" i="15"/>
  <c r="X94" i="15"/>
  <c r="V94" i="15"/>
  <c r="T94" i="15"/>
  <c r="R94" i="15"/>
  <c r="P94" i="15"/>
  <c r="N94" i="15"/>
  <c r="L94" i="15"/>
  <c r="J94" i="15"/>
  <c r="H94" i="15"/>
  <c r="F94" i="15"/>
  <c r="D94" i="15"/>
  <c r="B94" i="15"/>
  <c r="Z92" i="15"/>
  <c r="X92" i="15"/>
  <c r="V92" i="15"/>
  <c r="T92" i="15"/>
  <c r="R92" i="15"/>
  <c r="P92" i="15"/>
  <c r="N92" i="15"/>
  <c r="L92" i="15"/>
  <c r="J92" i="15"/>
  <c r="H92" i="15"/>
  <c r="F92" i="15"/>
  <c r="D92" i="15"/>
  <c r="B92" i="15"/>
  <c r="Z91" i="15"/>
  <c r="X91" i="15"/>
  <c r="V91" i="15"/>
  <c r="T91" i="15"/>
  <c r="R91" i="15"/>
  <c r="P91" i="15"/>
  <c r="N91" i="15"/>
  <c r="L91" i="15"/>
  <c r="J91" i="15"/>
  <c r="H91" i="15"/>
  <c r="F91" i="15"/>
  <c r="D91" i="15"/>
  <c r="B91" i="15"/>
  <c r="Z90" i="15"/>
  <c r="X90" i="15"/>
  <c r="V90" i="15"/>
  <c r="T90" i="15"/>
  <c r="R90" i="15"/>
  <c r="P90" i="15"/>
  <c r="N90" i="15"/>
  <c r="L90" i="15"/>
  <c r="J90" i="15"/>
  <c r="H90" i="15"/>
  <c r="F90" i="15"/>
  <c r="D90" i="15"/>
  <c r="B90" i="15"/>
  <c r="Z89" i="15"/>
  <c r="X89" i="15"/>
  <c r="V89" i="15"/>
  <c r="T89" i="15"/>
  <c r="R89" i="15"/>
  <c r="P89" i="15"/>
  <c r="N89" i="15"/>
  <c r="L89" i="15"/>
  <c r="J89" i="15"/>
  <c r="H89" i="15"/>
  <c r="F89" i="15"/>
  <c r="D89" i="15"/>
  <c r="B89" i="15"/>
  <c r="Z88" i="15"/>
  <c r="X88" i="15"/>
  <c r="V88" i="15"/>
  <c r="T88" i="15"/>
  <c r="R88" i="15"/>
  <c r="P88" i="15"/>
  <c r="N88" i="15"/>
  <c r="L88" i="15"/>
  <c r="J88" i="15"/>
  <c r="H88" i="15"/>
  <c r="F88" i="15"/>
  <c r="D88" i="15"/>
  <c r="B88" i="15"/>
  <c r="Z85" i="15"/>
  <c r="X85" i="15"/>
  <c r="V85" i="15"/>
  <c r="T85" i="15"/>
  <c r="R85" i="15"/>
  <c r="P85" i="15"/>
  <c r="N85" i="15"/>
  <c r="L85" i="15"/>
  <c r="J85" i="15"/>
  <c r="H85" i="15"/>
  <c r="F85" i="15"/>
  <c r="D85" i="15"/>
  <c r="B85" i="15"/>
  <c r="Z84" i="15"/>
  <c r="X84" i="15"/>
  <c r="V84" i="15"/>
  <c r="T84" i="15"/>
  <c r="R84" i="15"/>
  <c r="P84" i="15"/>
  <c r="N84" i="15"/>
  <c r="L84" i="15"/>
  <c r="J84" i="15"/>
  <c r="H84" i="15"/>
  <c r="F84" i="15"/>
  <c r="D84" i="15"/>
  <c r="B84" i="15"/>
  <c r="Z83" i="15"/>
  <c r="X83" i="15"/>
  <c r="V83" i="15"/>
  <c r="T83" i="15"/>
  <c r="R83" i="15"/>
  <c r="P83" i="15"/>
  <c r="N83" i="15"/>
  <c r="L83" i="15"/>
  <c r="J83" i="15"/>
  <c r="H83" i="15"/>
  <c r="F83" i="15"/>
  <c r="D83" i="15"/>
  <c r="B83" i="15"/>
  <c r="Z82" i="15"/>
  <c r="X82" i="15"/>
  <c r="V82" i="15"/>
  <c r="T82" i="15"/>
  <c r="R82" i="15"/>
  <c r="P82" i="15"/>
  <c r="N82" i="15"/>
  <c r="L82" i="15"/>
  <c r="J82" i="15"/>
  <c r="H82" i="15"/>
  <c r="F82" i="15"/>
  <c r="D82" i="15"/>
  <c r="B82" i="15"/>
  <c r="Z81" i="15"/>
  <c r="X81" i="15"/>
  <c r="V81" i="15"/>
  <c r="T81" i="15"/>
  <c r="R81" i="15"/>
  <c r="P81" i="15"/>
  <c r="N81" i="15"/>
  <c r="L81" i="15"/>
  <c r="J81" i="15"/>
  <c r="H81" i="15"/>
  <c r="F81" i="15"/>
  <c r="D81" i="15"/>
  <c r="B81" i="15"/>
  <c r="Z80" i="15"/>
  <c r="X80" i="15"/>
  <c r="V80" i="15"/>
  <c r="T80" i="15"/>
  <c r="R80" i="15"/>
  <c r="P80" i="15"/>
  <c r="N80" i="15"/>
  <c r="L80" i="15"/>
  <c r="J80" i="15"/>
  <c r="H80" i="15"/>
  <c r="F80" i="15"/>
  <c r="D80" i="15"/>
  <c r="B80" i="15"/>
  <c r="Z79" i="15"/>
  <c r="X79" i="15"/>
  <c r="V79" i="15"/>
  <c r="T79" i="15"/>
  <c r="R79" i="15"/>
  <c r="P79" i="15"/>
  <c r="N79" i="15"/>
  <c r="L79" i="15"/>
  <c r="J79" i="15"/>
  <c r="H79" i="15"/>
  <c r="F79" i="15"/>
  <c r="D79" i="15"/>
  <c r="B79" i="15"/>
  <c r="Z78" i="15"/>
  <c r="X78" i="15"/>
  <c r="V78" i="15"/>
  <c r="T78" i="15"/>
  <c r="R78" i="15"/>
  <c r="P78" i="15"/>
  <c r="N78" i="15"/>
  <c r="L78" i="15"/>
  <c r="J78" i="15"/>
  <c r="H78" i="15"/>
  <c r="F78" i="15"/>
  <c r="D78" i="15"/>
  <c r="B78" i="15"/>
  <c r="Z77" i="15"/>
  <c r="X77" i="15"/>
  <c r="V77" i="15"/>
  <c r="T77" i="15"/>
  <c r="R77" i="15"/>
  <c r="P77" i="15"/>
  <c r="N77" i="15"/>
  <c r="L77" i="15"/>
  <c r="J77" i="15"/>
  <c r="H77" i="15"/>
  <c r="F77" i="15"/>
  <c r="D77" i="15"/>
  <c r="B77" i="15"/>
  <c r="Z73" i="15"/>
  <c r="X73" i="15"/>
  <c r="V73" i="15"/>
  <c r="T73" i="15"/>
  <c r="R73" i="15"/>
  <c r="P73" i="15"/>
  <c r="N73" i="15"/>
  <c r="L73" i="15"/>
  <c r="J73" i="15"/>
  <c r="H73" i="15"/>
  <c r="F73" i="15"/>
  <c r="D73" i="15"/>
  <c r="B73" i="15"/>
  <c r="Z72" i="15"/>
  <c r="X72" i="15"/>
  <c r="V72" i="15"/>
  <c r="T72" i="15"/>
  <c r="R72" i="15"/>
  <c r="P72" i="15"/>
  <c r="N72" i="15"/>
  <c r="L72" i="15"/>
  <c r="J72" i="15"/>
  <c r="H72" i="15"/>
  <c r="F72" i="15"/>
  <c r="D72" i="15"/>
  <c r="B72" i="15"/>
  <c r="Z71" i="15"/>
  <c r="X71" i="15"/>
  <c r="V71" i="15"/>
  <c r="T71" i="15"/>
  <c r="R71" i="15"/>
  <c r="P71" i="15"/>
  <c r="N71" i="15"/>
  <c r="L71" i="15"/>
  <c r="J71" i="15"/>
  <c r="H71" i="15"/>
  <c r="F71" i="15"/>
  <c r="D71" i="15"/>
  <c r="B71" i="15"/>
  <c r="Z70" i="15"/>
  <c r="X70" i="15"/>
  <c r="V70" i="15"/>
  <c r="T70" i="15"/>
  <c r="R70" i="15"/>
  <c r="P70" i="15"/>
  <c r="N70" i="15"/>
  <c r="L70" i="15"/>
  <c r="J70" i="15"/>
  <c r="H70" i="15"/>
  <c r="F70" i="15"/>
  <c r="D70" i="15"/>
  <c r="B70" i="15"/>
  <c r="Z69" i="15"/>
  <c r="X69" i="15"/>
  <c r="V69" i="15"/>
  <c r="T69" i="15"/>
  <c r="R69" i="15"/>
  <c r="P69" i="15"/>
  <c r="N69" i="15"/>
  <c r="L69" i="15"/>
  <c r="J69" i="15"/>
  <c r="H69" i="15"/>
  <c r="F69" i="15"/>
  <c r="D69" i="15"/>
  <c r="B69" i="15"/>
  <c r="Z68" i="15"/>
  <c r="X68" i="15"/>
  <c r="V68" i="15"/>
  <c r="T68" i="15"/>
  <c r="R68" i="15"/>
  <c r="P68" i="15"/>
  <c r="N68" i="15"/>
  <c r="L68" i="15"/>
  <c r="J68" i="15"/>
  <c r="H68" i="15"/>
  <c r="F68" i="15"/>
  <c r="D68" i="15"/>
  <c r="B68" i="15"/>
  <c r="Z67" i="15"/>
  <c r="X67" i="15"/>
  <c r="V67" i="15"/>
  <c r="T67" i="15"/>
  <c r="R67" i="15"/>
  <c r="P67" i="15"/>
  <c r="N67" i="15"/>
  <c r="L67" i="15"/>
  <c r="J67" i="15"/>
  <c r="H67" i="15"/>
  <c r="F67" i="15"/>
  <c r="D67" i="15"/>
  <c r="B67" i="15"/>
  <c r="Z64" i="15"/>
  <c r="X64" i="15"/>
  <c r="V64" i="15"/>
  <c r="T64" i="15"/>
  <c r="R64" i="15"/>
  <c r="P64" i="15"/>
  <c r="N64" i="15"/>
  <c r="L64" i="15"/>
  <c r="J64" i="15"/>
  <c r="H64" i="15"/>
  <c r="F64" i="15"/>
  <c r="D64" i="15"/>
  <c r="B64" i="15"/>
  <c r="Z63" i="15"/>
  <c r="X63" i="15"/>
  <c r="V63" i="15"/>
  <c r="T63" i="15"/>
  <c r="R63" i="15"/>
  <c r="P63" i="15"/>
  <c r="N63" i="15"/>
  <c r="L63" i="15"/>
  <c r="J63" i="15"/>
  <c r="H63" i="15"/>
  <c r="F63" i="15"/>
  <c r="D63" i="15"/>
  <c r="B63" i="15"/>
  <c r="Z62" i="15"/>
  <c r="X62" i="15"/>
  <c r="V62" i="15"/>
  <c r="T62" i="15"/>
  <c r="R62" i="15"/>
  <c r="P62" i="15"/>
  <c r="N62" i="15"/>
  <c r="L62" i="15"/>
  <c r="J62" i="15"/>
  <c r="H62" i="15"/>
  <c r="F62" i="15"/>
  <c r="D62" i="15"/>
  <c r="B62" i="15"/>
  <c r="Z59" i="15"/>
  <c r="X59" i="15"/>
  <c r="V59" i="15"/>
  <c r="T59" i="15"/>
  <c r="R59" i="15"/>
  <c r="P59" i="15"/>
  <c r="N59" i="15"/>
  <c r="L59" i="15"/>
  <c r="J59" i="15"/>
  <c r="H59" i="15"/>
  <c r="F59" i="15"/>
  <c r="D59" i="15"/>
  <c r="B59" i="15"/>
  <c r="Z58" i="15"/>
  <c r="X58" i="15"/>
  <c r="V58" i="15"/>
  <c r="T58" i="15"/>
  <c r="R58" i="15"/>
  <c r="P58" i="15"/>
  <c r="N58" i="15"/>
  <c r="L58" i="15"/>
  <c r="J58" i="15"/>
  <c r="H58" i="15"/>
  <c r="F58" i="15"/>
  <c r="D58" i="15"/>
  <c r="B58" i="15"/>
  <c r="Z55" i="15"/>
  <c r="X55" i="15"/>
  <c r="V55" i="15"/>
  <c r="T55" i="15"/>
  <c r="R55" i="15"/>
  <c r="P55" i="15"/>
  <c r="N55" i="15"/>
  <c r="L55" i="15"/>
  <c r="J55" i="15"/>
  <c r="H55" i="15"/>
  <c r="F55" i="15"/>
  <c r="D55" i="15"/>
  <c r="B55" i="15"/>
  <c r="Z52" i="15"/>
  <c r="X52" i="15"/>
  <c r="V52" i="15"/>
  <c r="T52" i="15"/>
  <c r="R52" i="15"/>
  <c r="P52" i="15"/>
  <c r="N52" i="15"/>
  <c r="L52" i="15"/>
  <c r="J52" i="15"/>
  <c r="H52" i="15"/>
  <c r="F52" i="15"/>
  <c r="D52" i="15"/>
  <c r="B52" i="15"/>
  <c r="Z51" i="15"/>
  <c r="X51" i="15"/>
  <c r="V51" i="15"/>
  <c r="T51" i="15"/>
  <c r="R51" i="15"/>
  <c r="P51" i="15"/>
  <c r="N51" i="15"/>
  <c r="L51" i="15"/>
  <c r="J51" i="15"/>
  <c r="H51" i="15"/>
  <c r="F51" i="15"/>
  <c r="D51" i="15"/>
  <c r="B51" i="15"/>
  <c r="Z50" i="15"/>
  <c r="X50" i="15"/>
  <c r="V50" i="15"/>
  <c r="T50" i="15"/>
  <c r="R50" i="15"/>
  <c r="P50" i="15"/>
  <c r="N50" i="15"/>
  <c r="L50" i="15"/>
  <c r="J50" i="15"/>
  <c r="H50" i="15"/>
  <c r="F50" i="15"/>
  <c r="D50" i="15"/>
  <c r="B50" i="15"/>
  <c r="T44" i="27" l="1"/>
  <c r="E8" i="25"/>
  <c r="D8" i="25" s="1"/>
  <c r="C8" i="25"/>
  <c r="B8" i="25" s="1"/>
  <c r="R10" i="25"/>
  <c r="I7" i="17"/>
  <c r="K10" i="17"/>
  <c r="W21" i="26"/>
  <c r="F99" i="15"/>
  <c r="L87" i="15"/>
  <c r="P87" i="15"/>
  <c r="F87" i="15"/>
  <c r="P99" i="15"/>
  <c r="B66" i="15"/>
  <c r="F66" i="15"/>
  <c r="B99" i="15"/>
  <c r="R99" i="15"/>
  <c r="Z99" i="15"/>
  <c r="H99" i="15"/>
  <c r="X99" i="15"/>
  <c r="T99" i="15"/>
  <c r="H66" i="15"/>
  <c r="J66" i="15"/>
  <c r="J87" i="15"/>
  <c r="R87" i="15"/>
  <c r="Z87" i="15"/>
  <c r="D87" i="15"/>
  <c r="T87" i="15"/>
  <c r="N66" i="15"/>
  <c r="Z66" i="15"/>
  <c r="T66" i="15"/>
  <c r="H87" i="15"/>
  <c r="X87" i="15"/>
  <c r="N87" i="15"/>
  <c r="V87" i="15"/>
  <c r="V99" i="15"/>
  <c r="P66" i="15"/>
  <c r="X66" i="15"/>
  <c r="V66" i="15"/>
  <c r="R66" i="15"/>
  <c r="D66" i="15"/>
  <c r="L66" i="15"/>
  <c r="D99" i="15"/>
  <c r="L99" i="15"/>
  <c r="J99" i="15"/>
  <c r="N99" i="15"/>
  <c r="T16" i="27"/>
  <c r="B16" i="27"/>
  <c r="S16" i="27"/>
  <c r="G47" i="17"/>
  <c r="I14" i="17"/>
  <c r="G36" i="25"/>
  <c r="E36" i="25" s="1"/>
  <c r="C36" i="25" s="1"/>
  <c r="R35" i="25" s="1"/>
  <c r="R25" i="25"/>
  <c r="L21" i="17"/>
  <c r="H21" i="17"/>
  <c r="E47" i="27"/>
  <c r="D47" i="27" s="1"/>
  <c r="U47" i="27"/>
  <c r="C47" i="27"/>
  <c r="B47" i="27" s="1"/>
  <c r="I15" i="17"/>
  <c r="H15" i="17" s="1"/>
  <c r="S8" i="27"/>
  <c r="T8" i="27"/>
  <c r="Y7" i="26"/>
  <c r="C7" i="26"/>
  <c r="E7" i="26"/>
  <c r="G21" i="26"/>
  <c r="L15" i="17"/>
  <c r="N15" i="17" s="1"/>
  <c r="I10" i="17"/>
  <c r="H10" i="17"/>
  <c r="S19" i="27"/>
  <c r="T19" i="27"/>
  <c r="C37" i="26"/>
  <c r="B37" i="26" s="1"/>
  <c r="Y37" i="26"/>
  <c r="E37" i="26"/>
  <c r="D37" i="26" s="1"/>
  <c r="D16" i="17"/>
  <c r="J16" i="17" s="1"/>
  <c r="M16" i="17"/>
  <c r="L47" i="17"/>
  <c r="H47" i="17"/>
  <c r="D50" i="17"/>
  <c r="I21" i="17"/>
  <c r="G16" i="17"/>
  <c r="N21" i="17"/>
  <c r="G36" i="27"/>
  <c r="T36" i="27"/>
  <c r="S36" i="27" s="1"/>
  <c r="E50" i="17"/>
  <c r="M47" i="17"/>
  <c r="J47" i="17"/>
  <c r="K47" i="17"/>
  <c r="U11" i="27"/>
  <c r="T17" i="27"/>
  <c r="S17" i="27"/>
  <c r="B87" i="15"/>
  <c r="J21" i="17"/>
  <c r="B18" i="25"/>
  <c r="Z42" i="15"/>
  <c r="X42" i="15"/>
  <c r="V42" i="15"/>
  <c r="T42" i="15"/>
  <c r="R42" i="15"/>
  <c r="P42" i="15"/>
  <c r="N42" i="15"/>
  <c r="L42" i="15"/>
  <c r="J42" i="15"/>
  <c r="H42" i="15"/>
  <c r="F42" i="15"/>
  <c r="D42" i="15"/>
  <c r="B42" i="15"/>
  <c r="Z40" i="15"/>
  <c r="X40" i="15"/>
  <c r="V40" i="15"/>
  <c r="T40" i="15"/>
  <c r="R40" i="15"/>
  <c r="P40" i="15"/>
  <c r="N40" i="15"/>
  <c r="L40" i="15"/>
  <c r="J40" i="15"/>
  <c r="H40" i="15"/>
  <c r="F40" i="15"/>
  <c r="D40" i="15"/>
  <c r="B40" i="15"/>
  <c r="Z39" i="15"/>
  <c r="X39" i="15"/>
  <c r="V39" i="15"/>
  <c r="T39" i="15"/>
  <c r="R39" i="15"/>
  <c r="P39" i="15"/>
  <c r="N39" i="15"/>
  <c r="L39" i="15"/>
  <c r="J39" i="15"/>
  <c r="H39" i="15"/>
  <c r="F39" i="15"/>
  <c r="D39" i="15"/>
  <c r="B39" i="15"/>
  <c r="Z38" i="15"/>
  <c r="X38" i="15"/>
  <c r="V38" i="15"/>
  <c r="T38" i="15"/>
  <c r="R38" i="15"/>
  <c r="P38" i="15"/>
  <c r="N38" i="15"/>
  <c r="L38" i="15"/>
  <c r="J38" i="15"/>
  <c r="H38" i="15"/>
  <c r="F38" i="15"/>
  <c r="D38" i="15"/>
  <c r="B38" i="15"/>
  <c r="Z37" i="15"/>
  <c r="X37" i="15"/>
  <c r="V37" i="15"/>
  <c r="T37" i="15"/>
  <c r="R37" i="15"/>
  <c r="P37" i="15"/>
  <c r="N37" i="15"/>
  <c r="L37" i="15"/>
  <c r="J37" i="15"/>
  <c r="H37" i="15"/>
  <c r="F37" i="15"/>
  <c r="D37" i="15"/>
  <c r="B37" i="15"/>
  <c r="Z36" i="15"/>
  <c r="X36" i="15"/>
  <c r="V36" i="15"/>
  <c r="T36" i="15"/>
  <c r="R36" i="15"/>
  <c r="P36" i="15"/>
  <c r="N36" i="15"/>
  <c r="L36" i="15"/>
  <c r="J36" i="15"/>
  <c r="H36" i="15"/>
  <c r="F36" i="15"/>
  <c r="D36" i="15"/>
  <c r="B36" i="15"/>
  <c r="Z35" i="15"/>
  <c r="X35" i="15"/>
  <c r="V35" i="15"/>
  <c r="T35" i="15"/>
  <c r="R35" i="15"/>
  <c r="P35" i="15"/>
  <c r="N35" i="15"/>
  <c r="L35" i="15"/>
  <c r="J35" i="15"/>
  <c r="H35" i="15"/>
  <c r="F35" i="15"/>
  <c r="D35" i="15"/>
  <c r="B35" i="15"/>
  <c r="Z34" i="15"/>
  <c r="X34" i="15"/>
  <c r="V34" i="15"/>
  <c r="T34" i="15"/>
  <c r="R34" i="15"/>
  <c r="P34" i="15"/>
  <c r="N34" i="15"/>
  <c r="L34" i="15"/>
  <c r="J34" i="15"/>
  <c r="H34" i="15"/>
  <c r="F34" i="15"/>
  <c r="D34" i="15"/>
  <c r="B34" i="15"/>
  <c r="Z33" i="15"/>
  <c r="X33" i="15"/>
  <c r="V33" i="15"/>
  <c r="T33" i="15"/>
  <c r="R33" i="15"/>
  <c r="P33" i="15"/>
  <c r="N33" i="15"/>
  <c r="L33" i="15"/>
  <c r="J33" i="15"/>
  <c r="H33" i="15"/>
  <c r="F33" i="15"/>
  <c r="D33" i="15"/>
  <c r="B33" i="15"/>
  <c r="Z32" i="15"/>
  <c r="X32" i="15"/>
  <c r="V32" i="15"/>
  <c r="T32" i="15"/>
  <c r="R32" i="15"/>
  <c r="P32" i="15"/>
  <c r="N32" i="15"/>
  <c r="L32" i="15"/>
  <c r="J32" i="15"/>
  <c r="H32" i="15"/>
  <c r="F32" i="15"/>
  <c r="D32" i="15"/>
  <c r="B32" i="15"/>
  <c r="Z31" i="15"/>
  <c r="X31" i="15"/>
  <c r="V31" i="15"/>
  <c r="T31" i="15"/>
  <c r="R31" i="15"/>
  <c r="P31" i="15"/>
  <c r="N31" i="15"/>
  <c r="L31" i="15"/>
  <c r="J31" i="15"/>
  <c r="H31" i="15"/>
  <c r="F31" i="15"/>
  <c r="D31" i="15"/>
  <c r="B31" i="15"/>
  <c r="Z30" i="15"/>
  <c r="X30" i="15"/>
  <c r="V30" i="15"/>
  <c r="T30" i="15"/>
  <c r="R30" i="15"/>
  <c r="P30" i="15"/>
  <c r="N30" i="15"/>
  <c r="L30" i="15"/>
  <c r="J30" i="15"/>
  <c r="H30" i="15"/>
  <c r="F30" i="15"/>
  <c r="D30" i="15"/>
  <c r="B30" i="15"/>
  <c r="Z27" i="15"/>
  <c r="X27" i="15"/>
  <c r="V27" i="15"/>
  <c r="T27" i="15"/>
  <c r="R27" i="15"/>
  <c r="P27" i="15"/>
  <c r="N27" i="15"/>
  <c r="L27" i="15"/>
  <c r="J27" i="15"/>
  <c r="H27" i="15"/>
  <c r="F27" i="15"/>
  <c r="D27" i="15"/>
  <c r="B27" i="15"/>
  <c r="Z26" i="15"/>
  <c r="X26" i="15"/>
  <c r="V26" i="15"/>
  <c r="T26" i="15"/>
  <c r="R26" i="15"/>
  <c r="P26" i="15"/>
  <c r="N26" i="15"/>
  <c r="L26" i="15"/>
  <c r="J26" i="15"/>
  <c r="H26" i="15"/>
  <c r="F26" i="15"/>
  <c r="D26" i="15"/>
  <c r="B26" i="15"/>
  <c r="Z25" i="15"/>
  <c r="X25" i="15"/>
  <c r="V25" i="15"/>
  <c r="T25" i="15"/>
  <c r="R25" i="15"/>
  <c r="P25" i="15"/>
  <c r="N25" i="15"/>
  <c r="L25" i="15"/>
  <c r="J25" i="15"/>
  <c r="H25" i="15"/>
  <c r="F25" i="15"/>
  <c r="D25" i="15"/>
  <c r="B25" i="15"/>
  <c r="Z24" i="15"/>
  <c r="X24" i="15"/>
  <c r="V24" i="15"/>
  <c r="T24" i="15"/>
  <c r="R24" i="15"/>
  <c r="P24" i="15"/>
  <c r="N24" i="15"/>
  <c r="L24" i="15"/>
  <c r="J24" i="15"/>
  <c r="H24" i="15"/>
  <c r="F24" i="15"/>
  <c r="D24" i="15"/>
  <c r="B24" i="15"/>
  <c r="Z23" i="15"/>
  <c r="X23" i="15"/>
  <c r="V23" i="15"/>
  <c r="T23" i="15"/>
  <c r="R23" i="15"/>
  <c r="P23" i="15"/>
  <c r="N23" i="15"/>
  <c r="L23" i="15"/>
  <c r="J23" i="15"/>
  <c r="H23" i="15"/>
  <c r="F23" i="15"/>
  <c r="D23" i="15"/>
  <c r="B23" i="15"/>
  <c r="Z22" i="15"/>
  <c r="X22" i="15"/>
  <c r="V22" i="15"/>
  <c r="T22" i="15"/>
  <c r="R22" i="15"/>
  <c r="P22" i="15"/>
  <c r="N22" i="15"/>
  <c r="L22" i="15"/>
  <c r="J22" i="15"/>
  <c r="H22" i="15"/>
  <c r="F22" i="15"/>
  <c r="D22" i="15"/>
  <c r="B22" i="15"/>
  <c r="Z21" i="15"/>
  <c r="X21" i="15"/>
  <c r="V21" i="15"/>
  <c r="T21" i="15"/>
  <c r="R21" i="15"/>
  <c r="P21" i="15"/>
  <c r="N21" i="15"/>
  <c r="L21" i="15"/>
  <c r="J21" i="15"/>
  <c r="H21" i="15"/>
  <c r="F21" i="15"/>
  <c r="D21" i="15"/>
  <c r="B21" i="15"/>
  <c r="Z20" i="15"/>
  <c r="X20" i="15"/>
  <c r="V20" i="15"/>
  <c r="T20" i="15"/>
  <c r="R20" i="15"/>
  <c r="P20" i="15"/>
  <c r="N20" i="15"/>
  <c r="L20" i="15"/>
  <c r="J20" i="15"/>
  <c r="H20" i="15"/>
  <c r="F20" i="15"/>
  <c r="D20" i="15"/>
  <c r="B20" i="15"/>
  <c r="Z19" i="15"/>
  <c r="X19" i="15"/>
  <c r="V19" i="15"/>
  <c r="T19" i="15"/>
  <c r="R19" i="15"/>
  <c r="P19" i="15"/>
  <c r="N19" i="15"/>
  <c r="L19" i="15"/>
  <c r="J19" i="15"/>
  <c r="H19" i="15"/>
  <c r="F19" i="15"/>
  <c r="D19" i="15"/>
  <c r="B19" i="15"/>
  <c r="Z14" i="15"/>
  <c r="AE14" i="15" s="1"/>
  <c r="X14" i="15"/>
  <c r="V14" i="15"/>
  <c r="V4" i="15" s="1"/>
  <c r="T14" i="15"/>
  <c r="R14" i="15"/>
  <c r="P14" i="15"/>
  <c r="N14" i="15"/>
  <c r="N4" i="15" s="1"/>
  <c r="L14" i="15"/>
  <c r="L4" i="15" s="1"/>
  <c r="J14" i="15"/>
  <c r="H14" i="15"/>
  <c r="H4" i="15" s="1"/>
  <c r="F14" i="15"/>
  <c r="F4" i="15" s="1"/>
  <c r="D14" i="15"/>
  <c r="B14" i="15"/>
  <c r="B4" i="15" s="1"/>
  <c r="Z13" i="15"/>
  <c r="X13" i="15"/>
  <c r="V13" i="15"/>
  <c r="T13" i="15"/>
  <c r="R13" i="15"/>
  <c r="P13" i="15"/>
  <c r="N13" i="15"/>
  <c r="L13" i="15"/>
  <c r="J13" i="15"/>
  <c r="H13" i="15"/>
  <c r="F13" i="15"/>
  <c r="D13" i="15"/>
  <c r="B13" i="15"/>
  <c r="Z12" i="15"/>
  <c r="X12" i="15"/>
  <c r="V12" i="15"/>
  <c r="T12" i="15"/>
  <c r="R12" i="15"/>
  <c r="P12" i="15"/>
  <c r="N12" i="15"/>
  <c r="L12" i="15"/>
  <c r="J12" i="15"/>
  <c r="H12" i="15"/>
  <c r="F12" i="15"/>
  <c r="D12" i="15"/>
  <c r="B12" i="15"/>
  <c r="Z11" i="15"/>
  <c r="X11" i="15"/>
  <c r="V11" i="15"/>
  <c r="T11" i="15"/>
  <c r="R11" i="15"/>
  <c r="P11" i="15"/>
  <c r="N11" i="15"/>
  <c r="L11" i="15"/>
  <c r="J11" i="15"/>
  <c r="H11" i="15"/>
  <c r="F11" i="15"/>
  <c r="D11" i="15"/>
  <c r="B11" i="15"/>
  <c r="Z8" i="15"/>
  <c r="X8" i="15"/>
  <c r="V8" i="15"/>
  <c r="T8" i="15"/>
  <c r="R8" i="15"/>
  <c r="P8" i="15"/>
  <c r="N8" i="15"/>
  <c r="L8" i="15"/>
  <c r="J8" i="15"/>
  <c r="H8" i="15"/>
  <c r="F8" i="15"/>
  <c r="D8" i="15"/>
  <c r="B8" i="15"/>
  <c r="Z7" i="15"/>
  <c r="X7" i="15"/>
  <c r="V7" i="15"/>
  <c r="T7" i="15"/>
  <c r="R7" i="15"/>
  <c r="P7" i="15"/>
  <c r="N7" i="15"/>
  <c r="L7" i="15"/>
  <c r="J7" i="15"/>
  <c r="H7" i="15"/>
  <c r="F7" i="15"/>
  <c r="D7" i="15"/>
  <c r="B7" i="15"/>
  <c r="N47" i="17" l="1"/>
  <c r="B10" i="15"/>
  <c r="C142" i="15" s="1"/>
  <c r="J10" i="15"/>
  <c r="K138" i="15" s="1"/>
  <c r="R10" i="15"/>
  <c r="S87" i="15" s="1"/>
  <c r="T4" i="15"/>
  <c r="L29" i="15"/>
  <c r="Z10" i="15"/>
  <c r="Z16" i="15" s="1"/>
  <c r="R18" i="15"/>
  <c r="J18" i="15"/>
  <c r="H10" i="15"/>
  <c r="I99" i="15" s="1"/>
  <c r="X10" i="15"/>
  <c r="Y99" i="15" s="1"/>
  <c r="E12" i="15"/>
  <c r="W12" i="15"/>
  <c r="I14" i="15"/>
  <c r="S14" i="15"/>
  <c r="T29" i="15"/>
  <c r="V10" i="15"/>
  <c r="W142" i="15" s="1"/>
  <c r="C14" i="15"/>
  <c r="D10" i="15"/>
  <c r="E146" i="15" s="1"/>
  <c r="Z4" i="15"/>
  <c r="X4" i="15" s="1"/>
  <c r="L10" i="15"/>
  <c r="M150" i="15" s="1"/>
  <c r="G14" i="15"/>
  <c r="E14" i="15"/>
  <c r="M14" i="15"/>
  <c r="U14" i="15"/>
  <c r="F18" i="15"/>
  <c r="B18" i="15"/>
  <c r="Z18" i="15"/>
  <c r="P18" i="15"/>
  <c r="N18" i="15"/>
  <c r="V18" i="15"/>
  <c r="D18" i="15"/>
  <c r="L18" i="15"/>
  <c r="M18" i="15" s="1"/>
  <c r="T18" i="15"/>
  <c r="D29" i="15"/>
  <c r="B29" i="15"/>
  <c r="J29" i="15"/>
  <c r="R29" i="15"/>
  <c r="Z29" i="15"/>
  <c r="AA29" i="15" s="1"/>
  <c r="P29" i="15"/>
  <c r="N29" i="15"/>
  <c r="V29" i="15"/>
  <c r="O12" i="15"/>
  <c r="Q14" i="15"/>
  <c r="Y14" i="15"/>
  <c r="H18" i="15"/>
  <c r="X18" i="15"/>
  <c r="W14" i="15"/>
  <c r="H29" i="15"/>
  <c r="X29" i="15"/>
  <c r="F29" i="15"/>
  <c r="D4" i="15"/>
  <c r="R4" i="15"/>
  <c r="P4" i="15" s="1"/>
  <c r="F10" i="15"/>
  <c r="G138" i="15" s="1"/>
  <c r="K12" i="15"/>
  <c r="S12" i="15"/>
  <c r="Y12" i="15"/>
  <c r="E52" i="17"/>
  <c r="J50" i="17"/>
  <c r="K50" i="17"/>
  <c r="M50" i="17"/>
  <c r="B7" i="26"/>
  <c r="J4" i="15"/>
  <c r="T10" i="15"/>
  <c r="C12" i="15"/>
  <c r="I12" i="15"/>
  <c r="Q12" i="15"/>
  <c r="K14" i="15"/>
  <c r="O14" i="15"/>
  <c r="AA14" i="15"/>
  <c r="R16" i="15"/>
  <c r="AE18" i="15"/>
  <c r="B37" i="25"/>
  <c r="B38" i="25"/>
  <c r="I16" i="17"/>
  <c r="E21" i="26"/>
  <c r="D7" i="26"/>
  <c r="D21" i="26" s="1"/>
  <c r="H16" i="17"/>
  <c r="S138" i="15"/>
  <c r="S142" i="15"/>
  <c r="Y21" i="26"/>
  <c r="P10" i="15"/>
  <c r="G12" i="15"/>
  <c r="M12" i="15"/>
  <c r="U12" i="15"/>
  <c r="AA12" i="15"/>
  <c r="K16" i="17"/>
  <c r="L50" i="17"/>
  <c r="D52" i="17"/>
  <c r="L16" i="17"/>
  <c r="N16" i="17" s="1"/>
  <c r="G50" i="17"/>
  <c r="H50" i="17" s="1"/>
  <c r="I47" i="17"/>
  <c r="U15" i="27"/>
  <c r="T15" i="27" s="1"/>
  <c r="C16" i="27"/>
  <c r="I17" i="27"/>
  <c r="S66" i="15"/>
  <c r="F49" i="17"/>
  <c r="C146" i="15" l="1"/>
  <c r="C148" i="15"/>
  <c r="K118" i="15"/>
  <c r="M87" i="15"/>
  <c r="C99" i="15"/>
  <c r="W146" i="15"/>
  <c r="I142" i="15"/>
  <c r="G87" i="15"/>
  <c r="C118" i="15"/>
  <c r="C138" i="15"/>
  <c r="C18" i="15"/>
  <c r="AA146" i="15"/>
  <c r="I146" i="15"/>
  <c r="G66" i="15"/>
  <c r="C66" i="15"/>
  <c r="C150" i="15"/>
  <c r="C29" i="15"/>
  <c r="H16" i="15"/>
  <c r="H46" i="15" s="1"/>
  <c r="I138" i="15"/>
  <c r="C87" i="15"/>
  <c r="K150" i="15"/>
  <c r="B16" i="15"/>
  <c r="B46" i="15" s="1"/>
  <c r="C46" i="15" s="1"/>
  <c r="I29" i="15"/>
  <c r="K66" i="15"/>
  <c r="K87" i="15"/>
  <c r="K148" i="15"/>
  <c r="AA18" i="15"/>
  <c r="S118" i="15"/>
  <c r="S148" i="15"/>
  <c r="K142" i="15"/>
  <c r="K146" i="15"/>
  <c r="S29" i="15"/>
  <c r="U18" i="15"/>
  <c r="J16" i="15"/>
  <c r="K16" i="15" s="1"/>
  <c r="Y142" i="15"/>
  <c r="S18" i="15"/>
  <c r="S99" i="15"/>
  <c r="X16" i="15"/>
  <c r="Y16" i="15" s="1"/>
  <c r="Y118" i="15"/>
  <c r="S146" i="15"/>
  <c r="S150" i="15"/>
  <c r="K99" i="15"/>
  <c r="E148" i="15"/>
  <c r="K29" i="15"/>
  <c r="K18" i="15"/>
  <c r="I118" i="15"/>
  <c r="I148" i="15"/>
  <c r="I66" i="15"/>
  <c r="M148" i="15"/>
  <c r="I18" i="15"/>
  <c r="I150" i="15"/>
  <c r="W66" i="15"/>
  <c r="I87" i="15"/>
  <c r="M146" i="15"/>
  <c r="Y138" i="15"/>
  <c r="Y29" i="15"/>
  <c r="E18" i="15"/>
  <c r="Y66" i="15"/>
  <c r="AA99" i="15"/>
  <c r="Y150" i="15"/>
  <c r="AA118" i="15"/>
  <c r="AA150" i="15"/>
  <c r="Y87" i="15"/>
  <c r="G146" i="15"/>
  <c r="E29" i="15"/>
  <c r="AA87" i="15"/>
  <c r="AA142" i="15"/>
  <c r="AA148" i="15"/>
  <c r="E138" i="15"/>
  <c r="Y18" i="15"/>
  <c r="E66" i="15"/>
  <c r="Y148" i="15"/>
  <c r="Y146" i="15"/>
  <c r="AA138" i="15"/>
  <c r="AA66" i="15"/>
  <c r="E142" i="15"/>
  <c r="G142" i="15"/>
  <c r="M99" i="15"/>
  <c r="L16" i="15"/>
  <c r="L46" i="15" s="1"/>
  <c r="W150" i="15"/>
  <c r="W18" i="15"/>
  <c r="G99" i="15"/>
  <c r="G150" i="15"/>
  <c r="G148" i="15"/>
  <c r="V16" i="15"/>
  <c r="V46" i="15" s="1"/>
  <c r="U29" i="15"/>
  <c r="W138" i="15"/>
  <c r="M142" i="15"/>
  <c r="F16" i="15"/>
  <c r="F46" i="15" s="1"/>
  <c r="G118" i="15"/>
  <c r="M66" i="15"/>
  <c r="E99" i="15"/>
  <c r="M29" i="15"/>
  <c r="D16" i="15"/>
  <c r="E16" i="15" s="1"/>
  <c r="W87" i="15"/>
  <c r="E87" i="15"/>
  <c r="Z46" i="15"/>
  <c r="W118" i="15"/>
  <c r="W148" i="15"/>
  <c r="M138" i="15"/>
  <c r="E118" i="15"/>
  <c r="E150" i="15"/>
  <c r="W29" i="15"/>
  <c r="W99" i="15"/>
  <c r="M118" i="15"/>
  <c r="F55" i="17"/>
  <c r="G29" i="15"/>
  <c r="G18" i="15"/>
  <c r="I16" i="15"/>
  <c r="J46" i="15"/>
  <c r="N50" i="17"/>
  <c r="G52" i="17"/>
  <c r="H52" i="17" s="1"/>
  <c r="I50" i="17"/>
  <c r="B52" i="17"/>
  <c r="D58" i="17"/>
  <c r="L52" i="17"/>
  <c r="N10" i="15"/>
  <c r="Q142" i="15"/>
  <c r="Q148" i="15"/>
  <c r="Q138" i="15"/>
  <c r="Q146" i="15"/>
  <c r="Q150" i="15"/>
  <c r="Q118" i="15"/>
  <c r="Q99" i="15"/>
  <c r="Q66" i="15"/>
  <c r="P16" i="15"/>
  <c r="P46" i="15" s="1"/>
  <c r="Q87" i="15"/>
  <c r="R46" i="15"/>
  <c r="S16" i="15"/>
  <c r="J52" i="17"/>
  <c r="E58" i="17"/>
  <c r="K52" i="17"/>
  <c r="M52" i="17"/>
  <c r="N52" i="17" s="1"/>
  <c r="C16" i="15"/>
  <c r="U146" i="15"/>
  <c r="U142" i="15"/>
  <c r="U138" i="15"/>
  <c r="U148" i="15"/>
  <c r="U150" i="15"/>
  <c r="U118" i="15"/>
  <c r="U66" i="15"/>
  <c r="U87" i="15"/>
  <c r="T16" i="15"/>
  <c r="U99" i="15"/>
  <c r="Q18" i="15"/>
  <c r="Q29" i="15"/>
  <c r="X46" i="15" l="1"/>
  <c r="C17" i="52"/>
  <c r="W16" i="15"/>
  <c r="G16" i="15"/>
  <c r="J49" i="15"/>
  <c r="R49" i="15"/>
  <c r="M16" i="15"/>
  <c r="Q16" i="15"/>
  <c r="D46" i="15"/>
  <c r="E46" i="15" s="1"/>
  <c r="P49" i="15"/>
  <c r="D49" i="15"/>
  <c r="D48" i="15" s="1"/>
  <c r="F39" i="17"/>
  <c r="F30" i="17"/>
  <c r="F25" i="17"/>
  <c r="G58" i="17"/>
  <c r="I52" i="17"/>
  <c r="I46" i="15"/>
  <c r="G46" i="15"/>
  <c r="W46" i="15"/>
  <c r="Y46" i="15"/>
  <c r="F41" i="17"/>
  <c r="H49" i="15"/>
  <c r="F11" i="17"/>
  <c r="T46" i="15"/>
  <c r="U16" i="15"/>
  <c r="O150" i="15"/>
  <c r="O148" i="15"/>
  <c r="O138" i="15"/>
  <c r="O146" i="15"/>
  <c r="O142" i="15"/>
  <c r="O118" i="15"/>
  <c r="O99" i="15"/>
  <c r="N16" i="15"/>
  <c r="O16" i="15" s="1"/>
  <c r="O87" i="15"/>
  <c r="O66" i="15"/>
  <c r="O18" i="15"/>
  <c r="O29" i="15"/>
  <c r="K46" i="15"/>
  <c r="M58" i="17"/>
  <c r="J58" i="17"/>
  <c r="K58" i="17"/>
  <c r="E60" i="17"/>
  <c r="Q46" i="15"/>
  <c r="B58" i="17"/>
  <c r="N56" i="17" s="1"/>
  <c r="D60" i="17"/>
  <c r="L58" i="17"/>
  <c r="H58" i="17"/>
  <c r="F56" i="17"/>
  <c r="T49" i="15"/>
  <c r="C16" i="52" l="1"/>
  <c r="B45" i="25"/>
  <c r="B49" i="15"/>
  <c r="B48" i="15" s="1"/>
  <c r="C48" i="15" s="1"/>
  <c r="N49" i="15"/>
  <c r="F49" i="15"/>
  <c r="F11" i="26"/>
  <c r="F18" i="17"/>
  <c r="D33" i="25"/>
  <c r="F36" i="17"/>
  <c r="F23" i="17"/>
  <c r="F12" i="17"/>
  <c r="F53" i="17"/>
  <c r="F26" i="17"/>
  <c r="B60" i="17"/>
  <c r="K60" i="17"/>
  <c r="M60" i="17"/>
  <c r="J60" i="17"/>
  <c r="F35" i="17"/>
  <c r="F40" i="17"/>
  <c r="L49" i="15"/>
  <c r="F34" i="17"/>
  <c r="S46" i="15"/>
  <c r="U46" i="15"/>
  <c r="V49" i="15"/>
  <c r="E48" i="15"/>
  <c r="E11" i="15"/>
  <c r="N58" i="17"/>
  <c r="F33" i="17"/>
  <c r="AA46" i="15"/>
  <c r="F13" i="27"/>
  <c r="F24" i="17"/>
  <c r="F22" i="17"/>
  <c r="G60" i="17"/>
  <c r="H60" i="17" s="1"/>
  <c r="I58" i="17"/>
  <c r="C30" i="52" l="1"/>
  <c r="D30" i="52"/>
  <c r="D60" i="52"/>
  <c r="E30" i="52"/>
  <c r="E60" i="52"/>
  <c r="F30" i="52"/>
  <c r="F60" i="52"/>
  <c r="F44" i="17"/>
  <c r="C11" i="15"/>
  <c r="B116" i="15"/>
  <c r="C116" i="15" s="1"/>
  <c r="F37" i="27"/>
  <c r="F21" i="17"/>
  <c r="W11" i="26"/>
  <c r="G11" i="26" s="1"/>
  <c r="X11" i="26"/>
  <c r="F13" i="17"/>
  <c r="F17" i="17"/>
  <c r="F38" i="17"/>
  <c r="F29" i="17"/>
  <c r="E33" i="25"/>
  <c r="F33" i="25"/>
  <c r="I60" i="17"/>
  <c r="G13" i="27"/>
  <c r="U13" i="27" s="1"/>
  <c r="S13" i="27"/>
  <c r="T13" i="27"/>
  <c r="F35" i="27"/>
  <c r="B35" i="27"/>
  <c r="C35" i="27" s="1"/>
  <c r="F31" i="17"/>
  <c r="F6" i="17"/>
  <c r="F2" i="27" s="1"/>
  <c r="L60" i="17"/>
  <c r="N60" i="17"/>
  <c r="F31" i="25"/>
  <c r="Z49" i="15"/>
  <c r="X49" i="15" s="1"/>
  <c r="E62" i="52" l="1"/>
  <c r="E65" i="52" s="1"/>
  <c r="E59" i="52"/>
  <c r="C29" i="52"/>
  <c r="C59" i="52" s="1"/>
  <c r="C32" i="52"/>
  <c r="C60" i="52"/>
  <c r="F32" i="52"/>
  <c r="F29" i="52"/>
  <c r="D32" i="52"/>
  <c r="D29" i="52"/>
  <c r="F62" i="52"/>
  <c r="F59" i="52"/>
  <c r="D62" i="52"/>
  <c r="D65" i="52" s="1"/>
  <c r="D66" i="52" s="1"/>
  <c r="D59" i="52"/>
  <c r="E32" i="52"/>
  <c r="E29" i="52"/>
  <c r="B136" i="15"/>
  <c r="F16" i="17"/>
  <c r="F42" i="17"/>
  <c r="G37" i="27"/>
  <c r="T37" i="27"/>
  <c r="S37" i="27" s="1"/>
  <c r="B37" i="27"/>
  <c r="U36" i="27" s="1"/>
  <c r="Q31" i="25"/>
  <c r="D31" i="25"/>
  <c r="R30" i="25" s="1"/>
  <c r="G31" i="25"/>
  <c r="P31" i="25"/>
  <c r="F22" i="27"/>
  <c r="F23" i="27"/>
  <c r="F32" i="26"/>
  <c r="G33" i="25"/>
  <c r="F32" i="17"/>
  <c r="E11" i="26"/>
  <c r="D11" i="26" s="1"/>
  <c r="Y11" i="26"/>
  <c r="C11" i="26"/>
  <c r="G35" i="27"/>
  <c r="U35" i="27" s="1"/>
  <c r="T35" i="27"/>
  <c r="S35" i="27" s="1"/>
  <c r="F28" i="17"/>
  <c r="F10" i="17"/>
  <c r="F14" i="17"/>
  <c r="F65" i="52" l="1"/>
  <c r="C62" i="52"/>
  <c r="C34" i="52"/>
  <c r="C37" i="27"/>
  <c r="E31" i="25"/>
  <c r="S23" i="27"/>
  <c r="T23" i="27"/>
  <c r="G23" i="27"/>
  <c r="C9" i="26"/>
  <c r="B11" i="26"/>
  <c r="T22" i="27"/>
  <c r="S22" i="27"/>
  <c r="G32" i="26"/>
  <c r="F42" i="27"/>
  <c r="X32" i="26"/>
  <c r="W32" i="26"/>
  <c r="D32" i="26"/>
  <c r="C35" i="52" l="1"/>
  <c r="C65" i="52"/>
  <c r="D34" i="52"/>
  <c r="E34" i="52" s="1"/>
  <c r="F34" i="52" s="1"/>
  <c r="Y32" i="26"/>
  <c r="E32" i="26"/>
  <c r="B9" i="26"/>
  <c r="C21" i="26"/>
  <c r="S42" i="27"/>
  <c r="G42" i="27" s="1"/>
  <c r="U42" i="27" s="1"/>
  <c r="T42" i="27"/>
  <c r="D42" i="27"/>
  <c r="C37" i="52" l="1"/>
  <c r="C70" i="52" s="1"/>
  <c r="C66" i="52"/>
  <c r="D35" i="52"/>
  <c r="B21" i="26"/>
  <c r="Y19" i="26" s="1"/>
  <c r="D37" i="52" l="1"/>
  <c r="E35" i="52"/>
  <c r="F38" i="27"/>
  <c r="T38" i="27" s="1"/>
  <c r="F41" i="27"/>
  <c r="T41" i="27" s="1"/>
  <c r="B32" i="25"/>
  <c r="F32" i="25" s="1"/>
  <c r="AE16" i="15"/>
  <c r="AF16" i="15" s="1"/>
  <c r="AA16" i="15"/>
  <c r="F48" i="15"/>
  <c r="F116" i="15" s="1"/>
  <c r="V48" i="15"/>
  <c r="T48" i="15"/>
  <c r="J48" i="15"/>
  <c r="R48" i="15"/>
  <c r="B29" i="25"/>
  <c r="F29" i="25" s="1"/>
  <c r="N48" i="15"/>
  <c r="O11" i="15" s="1"/>
  <c r="D39" i="26"/>
  <c r="D57" i="26" s="1"/>
  <c r="L48" i="15"/>
  <c r="M11" i="15" s="1"/>
  <c r="Z48" i="15"/>
  <c r="AA11" i="15" s="1"/>
  <c r="H48" i="15"/>
  <c r="I48" i="15" s="1"/>
  <c r="P48" i="15"/>
  <c r="X48" i="15"/>
  <c r="X116" i="15" s="1"/>
  <c r="X136" i="15" s="1"/>
  <c r="X140" i="15" s="1"/>
  <c r="X144" i="15" s="1"/>
  <c r="X152" i="15" s="1"/>
  <c r="Y152" i="15" s="1"/>
  <c r="F14" i="27"/>
  <c r="B14" i="27" s="1"/>
  <c r="C14" i="27" s="1"/>
  <c r="F14" i="26"/>
  <c r="G14" i="26" s="1"/>
  <c r="Y14" i="26" s="1"/>
  <c r="F41" i="25"/>
  <c r="F60" i="26"/>
  <c r="F40" i="25"/>
  <c r="N46" i="15"/>
  <c r="O46" i="15" s="1"/>
  <c r="M46" i="15"/>
  <c r="G28" i="17"/>
  <c r="I28" i="17" s="1"/>
  <c r="H28" i="17"/>
  <c r="M18" i="17"/>
  <c r="N18" i="17" s="1"/>
  <c r="U37" i="27"/>
  <c r="F16" i="26"/>
  <c r="G16" i="26"/>
  <c r="Y16" i="26" s="1"/>
  <c r="D116" i="15"/>
  <c r="E116" i="15" s="1"/>
  <c r="B140" i="15"/>
  <c r="B144" i="15" s="1"/>
  <c r="B152" i="15" s="1"/>
  <c r="C152" i="15" s="1"/>
  <c r="F34" i="26"/>
  <c r="G34" i="26"/>
  <c r="Y34" i="26" s="1"/>
  <c r="F15" i="26"/>
  <c r="X15" i="26" s="1"/>
  <c r="G37" i="25"/>
  <c r="R37" i="25" s="1"/>
  <c r="E37" i="25"/>
  <c r="D37" i="25" s="1"/>
  <c r="C37" i="25"/>
  <c r="D17" i="26"/>
  <c r="E17" i="26" s="1"/>
  <c r="X14" i="26"/>
  <c r="F6" i="26"/>
  <c r="R28" i="25"/>
  <c r="F18" i="26"/>
  <c r="X18" i="26" s="1"/>
  <c r="F29" i="26"/>
  <c r="X29" i="26" s="1"/>
  <c r="G41" i="17"/>
  <c r="I41" i="17" s="1"/>
  <c r="H41" i="17"/>
  <c r="D23" i="27"/>
  <c r="E23" i="27" s="1"/>
  <c r="U23" i="27"/>
  <c r="F34" i="27"/>
  <c r="S34" i="27" s="1"/>
  <c r="F68" i="27"/>
  <c r="F70" i="27" s="1"/>
  <c r="G40" i="17"/>
  <c r="I40" i="17"/>
  <c r="H40" i="17"/>
  <c r="B23" i="27"/>
  <c r="C23" i="27" s="1"/>
  <c r="U44" i="27"/>
  <c r="W16" i="26"/>
  <c r="X16" i="26"/>
  <c r="E16" i="26"/>
  <c r="Y17" i="26"/>
  <c r="E23" i="26"/>
  <c r="E39" i="26" s="1"/>
  <c r="E56" i="26" s="1"/>
  <c r="D56" i="26" s="1"/>
  <c r="R31" i="25"/>
  <c r="F31" i="26"/>
  <c r="X31" i="26" s="1"/>
  <c r="Y30" i="26"/>
  <c r="F7" i="27"/>
  <c r="T34" i="27"/>
  <c r="U40" i="27"/>
  <c r="X34" i="26"/>
  <c r="W34" i="26"/>
  <c r="G6" i="17"/>
  <c r="I6" i="17" s="1"/>
  <c r="H6" i="17"/>
  <c r="W31" i="26" l="1"/>
  <c r="W18" i="26"/>
  <c r="W14" i="26"/>
  <c r="G34" i="27"/>
  <c r="U34" i="27" s="1"/>
  <c r="F35" i="52"/>
  <c r="F37" i="52" s="1"/>
  <c r="E37" i="52"/>
  <c r="W29" i="26"/>
  <c r="F46" i="27"/>
  <c r="G46" i="27" s="1"/>
  <c r="E46" i="27" s="1"/>
  <c r="D46" i="27" s="1"/>
  <c r="T14" i="27"/>
  <c r="G14" i="27"/>
  <c r="U14" i="27" s="1"/>
  <c r="S14" i="27"/>
  <c r="C29" i="25"/>
  <c r="S41" i="27"/>
  <c r="D136" i="15"/>
  <c r="D140" i="15" s="1"/>
  <c r="D144" i="15" s="1"/>
  <c r="D152" i="15" s="1"/>
  <c r="E152" i="15" s="1"/>
  <c r="G48" i="15"/>
  <c r="G41" i="27"/>
  <c r="E41" i="27" s="1"/>
  <c r="D41" i="27" s="1"/>
  <c r="F45" i="27"/>
  <c r="G45" i="27" s="1"/>
  <c r="AC48" i="15"/>
  <c r="F37" i="25"/>
  <c r="I11" i="15"/>
  <c r="AA48" i="15"/>
  <c r="M48" i="15"/>
  <c r="O48" i="15"/>
  <c r="B26" i="26"/>
  <c r="G11" i="15"/>
  <c r="Z116" i="15"/>
  <c r="L116" i="15"/>
  <c r="F37" i="17"/>
  <c r="C32" i="25"/>
  <c r="H116" i="15"/>
  <c r="H136" i="15" s="1"/>
  <c r="H140" i="15" s="1"/>
  <c r="H144" i="15" s="1"/>
  <c r="H152" i="15" s="1"/>
  <c r="I152" i="15" s="1"/>
  <c r="B24" i="26"/>
  <c r="B23" i="26" s="1"/>
  <c r="B39" i="26" s="1"/>
  <c r="C8" i="52"/>
  <c r="S7" i="27"/>
  <c r="T7" i="27"/>
  <c r="F65" i="26"/>
  <c r="F43" i="25"/>
  <c r="Q48" i="15"/>
  <c r="Q11" i="15"/>
  <c r="P116" i="15"/>
  <c r="U48" i="15"/>
  <c r="U11" i="15"/>
  <c r="T116" i="15"/>
  <c r="Y116" i="15"/>
  <c r="W48" i="15"/>
  <c r="W11" i="15"/>
  <c r="V116" i="15"/>
  <c r="X6" i="26"/>
  <c r="W6" i="26"/>
  <c r="Y48" i="15"/>
  <c r="Y11" i="15"/>
  <c r="P29" i="25"/>
  <c r="Q29" i="25"/>
  <c r="G29" i="25"/>
  <c r="R29" i="25" s="1"/>
  <c r="F136" i="15"/>
  <c r="F140" i="15" s="1"/>
  <c r="F144" i="15" s="1"/>
  <c r="F152" i="15" s="1"/>
  <c r="G152" i="15" s="1"/>
  <c r="G116" i="15"/>
  <c r="F39" i="27"/>
  <c r="F45" i="17"/>
  <c r="S48" i="15"/>
  <c r="R116" i="15"/>
  <c r="S11" i="15"/>
  <c r="K48" i="15"/>
  <c r="K11" i="15"/>
  <c r="J116" i="15"/>
  <c r="P32" i="25"/>
  <c r="Q32" i="25"/>
  <c r="G32" i="25"/>
  <c r="R32" i="25" s="1"/>
  <c r="G38" i="27"/>
  <c r="S38" i="27"/>
  <c r="G31" i="26"/>
  <c r="W15" i="26"/>
  <c r="G29" i="26"/>
  <c r="G18" i="26"/>
  <c r="G15" i="26"/>
  <c r="Y15" i="26" s="1"/>
  <c r="N116" i="15"/>
  <c r="C6" i="52" l="1"/>
  <c r="C9" i="52" s="1"/>
  <c r="C10" i="52" s="1"/>
  <c r="C24" i="26"/>
  <c r="C23" i="26" s="1"/>
  <c r="C39" i="26" s="1"/>
  <c r="C46" i="52"/>
  <c r="U41" i="27"/>
  <c r="C41" i="27"/>
  <c r="B41" i="27" s="1"/>
  <c r="C46" i="27"/>
  <c r="B46" i="27" s="1"/>
  <c r="F24" i="26"/>
  <c r="G24" i="26" s="1"/>
  <c r="U46" i="27"/>
  <c r="T46" i="27"/>
  <c r="I116" i="15"/>
  <c r="S46" i="27"/>
  <c r="T45" i="27"/>
  <c r="S45" i="27"/>
  <c r="Z136" i="15"/>
  <c r="Z140" i="15" s="1"/>
  <c r="Z144" i="15" s="1"/>
  <c r="Z152" i="15" s="1"/>
  <c r="AA152" i="15" s="1"/>
  <c r="AA116" i="15"/>
  <c r="C26" i="26"/>
  <c r="F26" i="26"/>
  <c r="Q37" i="25"/>
  <c r="P37" i="25"/>
  <c r="B56" i="26"/>
  <c r="C56" i="26" s="1"/>
  <c r="B57" i="26"/>
  <c r="F59" i="26" s="1"/>
  <c r="L136" i="15"/>
  <c r="L140" i="15" s="1"/>
  <c r="L144" i="15" s="1"/>
  <c r="L152" i="15" s="1"/>
  <c r="M152" i="15" s="1"/>
  <c r="M116" i="15"/>
  <c r="C45" i="27"/>
  <c r="B45" i="27" s="1"/>
  <c r="U45" i="27"/>
  <c r="E45" i="27"/>
  <c r="D45" i="27" s="1"/>
  <c r="O116" i="15"/>
  <c r="N136" i="15"/>
  <c r="N140" i="15" s="1"/>
  <c r="N144" i="15" s="1"/>
  <c r="N152" i="15" s="1"/>
  <c r="O152" i="15" s="1"/>
  <c r="V136" i="15"/>
  <c r="V140" i="15" s="1"/>
  <c r="V144" i="15" s="1"/>
  <c r="V152" i="15" s="1"/>
  <c r="W152" i="15" s="1"/>
  <c r="W116" i="15"/>
  <c r="E29" i="26"/>
  <c r="D29" i="26" s="1"/>
  <c r="Y29" i="26"/>
  <c r="C29" i="26"/>
  <c r="B29" i="26" s="1"/>
  <c r="C18" i="26"/>
  <c r="B18" i="26" s="1"/>
  <c r="E18" i="26"/>
  <c r="D18" i="26" s="1"/>
  <c r="Y18" i="26"/>
  <c r="F43" i="17"/>
  <c r="F15" i="17" s="1"/>
  <c r="F47" i="17" s="1"/>
  <c r="F50" i="17" s="1"/>
  <c r="T136" i="15"/>
  <c r="T140" i="15" s="1"/>
  <c r="T144" i="15" s="1"/>
  <c r="T152" i="15" s="1"/>
  <c r="U152" i="15" s="1"/>
  <c r="U116" i="15"/>
  <c r="U38" i="27"/>
  <c r="C38" i="27"/>
  <c r="E38" i="27"/>
  <c r="S39" i="27"/>
  <c r="T39" i="27"/>
  <c r="G39" i="27"/>
  <c r="Y31" i="26"/>
  <c r="C31" i="26"/>
  <c r="B31" i="26" s="1"/>
  <c r="E31" i="26"/>
  <c r="D31" i="26" s="1"/>
  <c r="J136" i="15"/>
  <c r="J140" i="15" s="1"/>
  <c r="J144" i="15" s="1"/>
  <c r="J152" i="15" s="1"/>
  <c r="K152" i="15" s="1"/>
  <c r="K116" i="15"/>
  <c r="R136" i="15"/>
  <c r="R140" i="15" s="1"/>
  <c r="R144" i="15" s="1"/>
  <c r="R152" i="15" s="1"/>
  <c r="S152" i="15" s="1"/>
  <c r="S116" i="15"/>
  <c r="X24" i="26"/>
  <c r="Q116" i="15"/>
  <c r="P136" i="15"/>
  <c r="P140" i="15" s="1"/>
  <c r="P144" i="15" s="1"/>
  <c r="P152" i="15" s="1"/>
  <c r="Q152" i="15" s="1"/>
  <c r="E67" i="52" l="1"/>
  <c r="F67" i="52"/>
  <c r="D67" i="52"/>
  <c r="C7" i="52"/>
  <c r="C73" i="52" s="1"/>
  <c r="C74" i="52" s="1"/>
  <c r="C75" i="52" s="1"/>
  <c r="D46" i="52"/>
  <c r="C44" i="52"/>
  <c r="W24" i="26"/>
  <c r="F23" i="26"/>
  <c r="L23" i="26" s="1"/>
  <c r="G26" i="26"/>
  <c r="Y26" i="26" s="1"/>
  <c r="X26" i="26"/>
  <c r="W26" i="26"/>
  <c r="B38" i="27"/>
  <c r="G23" i="26"/>
  <c r="Y24" i="26"/>
  <c r="F12" i="27"/>
  <c r="D38" i="27"/>
  <c r="E39" i="27"/>
  <c r="D39" i="27" s="1"/>
  <c r="C39" i="27"/>
  <c r="B39" i="27" s="1"/>
  <c r="U39" i="27"/>
  <c r="W23" i="26" l="1"/>
  <c r="X23" i="26"/>
  <c r="F39" i="26"/>
  <c r="W39" i="26" s="1"/>
  <c r="E46" i="52"/>
  <c r="D68" i="52"/>
  <c r="D70" i="52" s="1"/>
  <c r="D73" i="52" s="1"/>
  <c r="C47" i="52"/>
  <c r="D43" i="52" s="1"/>
  <c r="G12" i="27"/>
  <c r="T12" i="27"/>
  <c r="F10" i="27"/>
  <c r="S12" i="27"/>
  <c r="Y23" i="26"/>
  <c r="G39" i="26"/>
  <c r="O62" i="26"/>
  <c r="L24" i="26"/>
  <c r="L64" i="26" l="1"/>
  <c r="X39" i="26"/>
  <c r="D74" i="52"/>
  <c r="D75" i="52" s="1"/>
  <c r="D45" i="52"/>
  <c r="F24" i="27"/>
  <c r="S10" i="27"/>
  <c r="F31" i="27"/>
  <c r="T10" i="27"/>
  <c r="U12" i="27"/>
  <c r="G10" i="27"/>
  <c r="E12" i="27"/>
  <c r="C12" i="27"/>
  <c r="Y39" i="26"/>
  <c r="G56" i="26"/>
  <c r="F56" i="26" s="1"/>
  <c r="E64" i="52" l="1"/>
  <c r="E66" i="52" s="1"/>
  <c r="D44" i="52"/>
  <c r="C10" i="27"/>
  <c r="C31" i="27" s="1"/>
  <c r="B12" i="27"/>
  <c r="B10" i="27" s="1"/>
  <c r="G31" i="27"/>
  <c r="U10" i="27"/>
  <c r="S24" i="27"/>
  <c r="T24" i="27"/>
  <c r="G24" i="27"/>
  <c r="U24" i="27" s="1"/>
  <c r="F26" i="27"/>
  <c r="D12" i="27"/>
  <c r="D10" i="27" s="1"/>
  <c r="E10" i="27"/>
  <c r="E31" i="27" s="1"/>
  <c r="S31" i="27"/>
  <c r="T31" i="27"/>
  <c r="E68" i="52" l="1"/>
  <c r="E70" i="52" s="1"/>
  <c r="E73" i="52" s="1"/>
  <c r="D47" i="52"/>
  <c r="E43" i="52" s="1"/>
  <c r="D24" i="27"/>
  <c r="D31" i="27"/>
  <c r="B31" i="27"/>
  <c r="B24" i="27"/>
  <c r="S26" i="27"/>
  <c r="T26" i="27"/>
  <c r="G26" i="27"/>
  <c r="U26" i="27" s="1"/>
  <c r="U31" i="27"/>
  <c r="E45" i="52" l="1"/>
  <c r="E74" i="52"/>
  <c r="E75" i="52" s="1"/>
  <c r="C24" i="27"/>
  <c r="B26" i="27"/>
  <c r="E24" i="27"/>
  <c r="D26" i="27"/>
  <c r="F64" i="52" l="1"/>
  <c r="F66" i="52" s="1"/>
  <c r="E44" i="52"/>
  <c r="C26" i="27"/>
  <c r="E26" i="27"/>
  <c r="F68" i="52" l="1"/>
  <c r="F70" i="52" s="1"/>
  <c r="F73" i="52" s="1"/>
  <c r="E47" i="52"/>
  <c r="F74" i="52" l="1"/>
  <c r="D77" i="52"/>
  <c r="E77" i="52" s="1"/>
  <c r="D78" i="52"/>
  <c r="E78" i="52" s="1"/>
  <c r="D79" i="52" l="1"/>
  <c r="E79" i="52" s="1"/>
  <c r="F75" i="52"/>
  <c r="F51" i="17" l="1"/>
  <c r="N51" i="17"/>
  <c r="F52" i="17" l="1"/>
  <c r="F58" i="17" s="1"/>
  <c r="F60" i="17" s="1"/>
  <c r="F76" i="27" s="1"/>
  <c r="F43" i="27"/>
  <c r="O51" i="17"/>
  <c r="G43" i="27" l="1"/>
  <c r="T43" i="27"/>
  <c r="S43" i="27"/>
  <c r="F33" i="27"/>
  <c r="G33" i="27" l="1"/>
  <c r="C43" i="27"/>
  <c r="U43" i="27"/>
  <c r="E43" i="27"/>
  <c r="S33" i="27"/>
  <c r="W33" i="27"/>
  <c r="F28" i="27"/>
  <c r="F49" i="27"/>
  <c r="T33" i="27"/>
  <c r="U33" i="27" l="1"/>
  <c r="G49" i="27"/>
  <c r="B43" i="27"/>
  <c r="B33" i="27" s="1"/>
  <c r="C33" i="27"/>
  <c r="C49" i="27" s="1"/>
  <c r="T28" i="27"/>
  <c r="F29" i="27"/>
  <c r="S28" i="27"/>
  <c r="G28" i="27"/>
  <c r="U28" i="27" s="1"/>
  <c r="W34" i="27"/>
  <c r="Y72" i="27"/>
  <c r="W74" i="27"/>
  <c r="T49" i="27"/>
  <c r="S49" i="27"/>
  <c r="E33" i="27"/>
  <c r="E49" i="27" s="1"/>
  <c r="E66" i="27" s="1"/>
  <c r="D66" i="27" s="1"/>
  <c r="D43" i="27"/>
  <c r="D33" i="27" s="1"/>
  <c r="F78" i="27" l="1"/>
  <c r="G29" i="27"/>
  <c r="D49" i="27"/>
  <c r="D67" i="27" s="1"/>
  <c r="D28" i="27"/>
  <c r="B28" i="27"/>
  <c r="B49" i="27"/>
  <c r="U49" i="27"/>
  <c r="G66" i="27"/>
  <c r="F66" i="27" s="1"/>
  <c r="S66" i="27" s="1"/>
  <c r="C28" i="27" l="1"/>
  <c r="B29" i="27"/>
  <c r="D29" i="27"/>
  <c r="E28" i="27"/>
  <c r="B67" i="27"/>
  <c r="F69" i="27" s="1"/>
  <c r="B66" i="27"/>
  <c r="C66" i="27" s="1"/>
  <c r="C29" i="27" l="1"/>
  <c r="B69" i="27"/>
  <c r="D69" i="27"/>
  <c r="E29" i="27"/>
  <c r="P29" i="27"/>
  <c r="Q29" i="27"/>
  <c r="U29" i="27" s="1"/>
  <c r="B13" i="25"/>
  <c r="B35" i="26"/>
  <c r="F35" i="26" s="1"/>
  <c r="D13" i="25"/>
  <c r="D35" i="26"/>
  <c r="T29" i="27"/>
  <c r="S29" i="27"/>
  <c r="F13" i="25"/>
  <c r="G13" i="25" s="1"/>
  <c r="R13" i="25" s="1"/>
  <c r="E35" i="26"/>
  <c r="C35" i="26"/>
  <c r="E13" i="25"/>
  <c r="P13" i="25"/>
  <c r="Q13" i="25"/>
  <c r="C13" i="25"/>
  <c r="W35" i="26" l="1"/>
  <c r="G35" i="26"/>
  <c r="Y35" i="26" s="1"/>
  <c r="X35" i="26"/>
</calcChain>
</file>

<file path=xl/comments1.xml><?xml version="1.0" encoding="utf-8"?>
<comments xmlns="http://schemas.openxmlformats.org/spreadsheetml/2006/main">
  <authors>
    <author>Y.Burdyug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K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U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Y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  <comment ref="AA11" authorId="0" shapeId="0">
      <text>
        <r>
          <rPr>
            <b/>
            <sz val="8"/>
            <color indexed="81"/>
            <rFont val="Tahoma"/>
            <family val="2"/>
            <charset val="204"/>
          </rPr>
          <t>Y.Burdyug:</t>
        </r>
        <r>
          <rPr>
            <sz val="14"/>
            <color indexed="81"/>
            <rFont val="Tahoma"/>
            <family val="2"/>
            <charset val="204"/>
          </rPr>
          <t xml:space="preserve">
Доля расходов канала в своих продажах 1 кат</t>
        </r>
      </text>
    </comment>
  </commentList>
</comments>
</file>

<file path=xl/comments2.xml><?xml version="1.0" encoding="utf-8"?>
<comments xmlns="http://schemas.openxmlformats.org/spreadsheetml/2006/main">
  <authors>
    <author>Старовойтов Юрий</author>
    <author>User</author>
  </authors>
  <commentList>
    <comment ref="P518" authorId="0" shapeId="0">
      <text>
        <r>
          <rPr>
            <b/>
            <sz val="9"/>
            <color indexed="81"/>
            <rFont val="Tahoma"/>
            <family val="2"/>
            <charset val="204"/>
          </rPr>
          <t>Старовойтов Юрий:</t>
        </r>
        <r>
          <rPr>
            <sz val="9"/>
            <color indexed="81"/>
            <rFont val="Tahoma"/>
            <family val="2"/>
            <charset val="204"/>
          </rPr>
          <t xml:space="preserve">
Ввод в АТБ 800000</t>
        </r>
      </text>
    </comment>
    <comment ref="O733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Я эти цифры не планировал. Что это за цифры?</t>
        </r>
      </text>
    </comment>
    <comment ref="O748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Я эти цифры не планировал. Что это за цифры?</t>
        </r>
      </text>
    </comment>
    <comment ref="O759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Что это за цифры? Я не планировал</t>
        </r>
      </text>
    </comment>
    <comment ref="O785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Я не планировал, что это за цифры?</t>
        </r>
      </text>
    </comment>
    <comment ref="O800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Я эти цифры не планировал. Что это за цифры?</t>
        </r>
      </text>
    </comment>
    <comment ref="M801" authorId="1" shapeId="0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Убрать из моего бюджета - мобильный телефон в офисе Днепропетроска. (Савенко и бухгалтер). Причем тут дистрибьюция?</t>
        </r>
      </text>
    </comment>
  </commentList>
</comments>
</file>

<file path=xl/comments3.xml><?xml version="1.0" encoding="utf-8"?>
<comments xmlns="http://schemas.openxmlformats.org/spreadsheetml/2006/main">
  <authors>
    <author>yuriy</author>
  </authors>
  <commentList>
    <comment ref="E30" authorId="0" shapeId="0">
      <text>
        <r>
          <rPr>
            <b/>
            <sz val="9"/>
            <color indexed="81"/>
            <rFont val="Tahoma"/>
            <family val="2"/>
            <charset val="204"/>
          </rPr>
          <t>yuriy:</t>
        </r>
        <r>
          <rPr>
            <sz val="9"/>
            <color indexed="81"/>
            <rFont val="Tahoma"/>
            <family val="2"/>
            <charset val="204"/>
          </rPr>
          <t xml:space="preserve">
354 740грн дистрибуторы</t>
        </r>
      </text>
    </comment>
  </commentList>
</comments>
</file>

<file path=xl/sharedStrings.xml><?xml version="1.0" encoding="utf-8"?>
<sst xmlns="http://schemas.openxmlformats.org/spreadsheetml/2006/main" count="16534" uniqueCount="829">
  <si>
    <t>Вид деятельности</t>
  </si>
  <si>
    <t>ЦФО</t>
  </si>
  <si>
    <t>Статья БДР 1</t>
  </si>
  <si>
    <t>Статья БДР 2</t>
  </si>
  <si>
    <t>Статья БДР 3</t>
  </si>
  <si>
    <t>Физ лицо</t>
  </si>
  <si>
    <t>Контрагент</t>
  </si>
  <si>
    <t>Административная деятельность</t>
  </si>
  <si>
    <t>Трейд - маркетинг</t>
  </si>
  <si>
    <t>Расходы на трейд-маркетинг</t>
  </si>
  <si>
    <t>Трейд-маркетинг</t>
  </si>
  <si>
    <t>Промоакции ТРТ</t>
  </si>
  <si>
    <t>Услуги связи</t>
  </si>
  <si>
    <t>Мобильная связь</t>
  </si>
  <si>
    <t>POS-материалы</t>
  </si>
  <si>
    <t>Промоакции</t>
  </si>
  <si>
    <t>Производственная деятельность</t>
  </si>
  <si>
    <t>Хозяйственный отдел завода</t>
  </si>
  <si>
    <t>Расходы на персонал</t>
  </si>
  <si>
    <t>Расходы на питание сотрудников</t>
  </si>
  <si>
    <t>Коммунальные расходы</t>
  </si>
  <si>
    <t>Вывоз мусора</t>
  </si>
  <si>
    <t>Расходы на логистику</t>
  </si>
  <si>
    <t>Расходы на транспортировку</t>
  </si>
  <si>
    <t>Расходы на транспортировку производственного оборудования, зап. частей</t>
  </si>
  <si>
    <t>Аренда</t>
  </si>
  <si>
    <t>Аренда прочая</t>
  </si>
  <si>
    <t>Расходы на канцтовары и обслуживание оргтехники</t>
  </si>
  <si>
    <t>Расходы на канцтовары</t>
  </si>
  <si>
    <t>Расходы на услуги сторонних организаций</t>
  </si>
  <si>
    <t>Хозяйственные расходы</t>
  </si>
  <si>
    <t>Расходы на услуги прочих сторонних организаций</t>
  </si>
  <si>
    <t>Продажи</t>
  </si>
  <si>
    <t>Львов сети</t>
  </si>
  <si>
    <t>Компенсация за использование авто</t>
  </si>
  <si>
    <t>Подольська Людмила Вікторівна</t>
  </si>
  <si>
    <t>Аренда офиса</t>
  </si>
  <si>
    <t>Командировочные расходы</t>
  </si>
  <si>
    <t>Біляк Марія Іванівна</t>
  </si>
  <si>
    <t>Веремчук Роман Олександрович</t>
  </si>
  <si>
    <t>Король Сергій Юрійович</t>
  </si>
  <si>
    <t>Волосянський</t>
  </si>
  <si>
    <t>Каратаєв Іван Вадимович</t>
  </si>
  <si>
    <t>Расходы на ГСМ транспорта персонала</t>
  </si>
  <si>
    <t>Такси, проездные, общественный транспорт</t>
  </si>
  <si>
    <t>Расходы на списание</t>
  </si>
  <si>
    <t>Расходы на списание брака готовой продукции</t>
  </si>
  <si>
    <t>Хлібкевич Ігор Орестович</t>
  </si>
  <si>
    <t>Хижук Антон Ігорович</t>
  </si>
  <si>
    <t>Константинова Оксана Дмитрівна</t>
  </si>
  <si>
    <t>Вархола Максим Іванович</t>
  </si>
  <si>
    <t>Волосянський Юрій Олегович</t>
  </si>
  <si>
    <t>Середюк Кароліна Мирославівна</t>
  </si>
  <si>
    <t>Лаборатория</t>
  </si>
  <si>
    <t>Расходы на маркетинг</t>
  </si>
  <si>
    <t>Расходы на создание новых продуктов</t>
  </si>
  <si>
    <t>Дегустации</t>
  </si>
  <si>
    <t>Расходы на контроль качества</t>
  </si>
  <si>
    <t>Расходы связанные с Укр ассоциацией производителей ЗПФ и мороженого</t>
  </si>
  <si>
    <t>Донецк</t>
  </si>
  <si>
    <t>Расходы на обслуживание оргтехники</t>
  </si>
  <si>
    <t>Стационарные телефоны</t>
  </si>
  <si>
    <t>Докукіна Ірина Володимирівна</t>
  </si>
  <si>
    <t>Алексєєва Тетяна Сергіївна</t>
  </si>
  <si>
    <t>Давиденко Владислав Валерійович</t>
  </si>
  <si>
    <t>Куліш Василь Валентинович</t>
  </si>
  <si>
    <t>Киев</t>
  </si>
  <si>
    <t>Оплата за размещение в тт</t>
  </si>
  <si>
    <t>Мезін Дмитро Геннадійович</t>
  </si>
  <si>
    <t>Пащенко Василь Іванович</t>
  </si>
  <si>
    <t>Вавринчук Володимир Петрович</t>
  </si>
  <si>
    <t>Заєць Євген Миколайович</t>
  </si>
  <si>
    <t>Рудяк Андрій Миколайович</t>
  </si>
  <si>
    <t>Ксенчина Анна Володимирівна</t>
  </si>
  <si>
    <t>Літвінов Віталій Володимирович</t>
  </si>
  <si>
    <t>Кіпріянов Дмитро Сергійович</t>
  </si>
  <si>
    <t>Кириленко Євгеній Анатолійович</t>
  </si>
  <si>
    <t>Калніболоцька Наталія Юріївна</t>
  </si>
  <si>
    <t>Бренд - менеджер ЗПФ</t>
  </si>
  <si>
    <t>Расходы на рекламу и PR</t>
  </si>
  <si>
    <t>Расходы на веб-сайт</t>
  </si>
  <si>
    <t>Директор по маркетингу</t>
  </si>
  <si>
    <t>Курпіта Олеся Володимирівна</t>
  </si>
  <si>
    <t>Власенко Сергій Михайлович</t>
  </si>
  <si>
    <t>Баранов Валентин Володимирович</t>
  </si>
  <si>
    <t>Бренд - менеджер Мороженое</t>
  </si>
  <si>
    <t>Разработка рецептуры</t>
  </si>
  <si>
    <t>PR деятельность</t>
  </si>
  <si>
    <t>Строит.и ремонтно.мех.участок</t>
  </si>
  <si>
    <t>Ремонт ОС</t>
  </si>
  <si>
    <t>Ремонт прочих ОС</t>
  </si>
  <si>
    <t>Расходы на спец. одежду</t>
  </si>
  <si>
    <t>Логистическая деятельность</t>
  </si>
  <si>
    <t>Транспортная логистика</t>
  </si>
  <si>
    <t>Охрана труда</t>
  </si>
  <si>
    <t>Представительские расходы и подарки</t>
  </si>
  <si>
    <t>Расходы на обучение</t>
  </si>
  <si>
    <t>Страхование сотрудников</t>
  </si>
  <si>
    <t>Гардецька Наталя Вікторівна</t>
  </si>
  <si>
    <t>Додонова Марія Вікторівна</t>
  </si>
  <si>
    <t>Зялік Михайло Володимирович</t>
  </si>
  <si>
    <t>Савченко Катерина Олександрівна</t>
  </si>
  <si>
    <t>Цьомик Вадим Геннадійович</t>
  </si>
  <si>
    <t>Хрущов Денис Володимирович</t>
  </si>
  <si>
    <t>Латишев Олексій Володимирович</t>
  </si>
  <si>
    <t>Журжа Анастасія Анатоліївна</t>
  </si>
  <si>
    <t>Ремига Петро Владиславович</t>
  </si>
  <si>
    <t>Лопатін Юрій Михайлович</t>
  </si>
  <si>
    <t>Бондаренко Євгеній Петрович</t>
  </si>
  <si>
    <t>Ярошенко Сергій Сергійович</t>
  </si>
  <si>
    <t>Луценко Олександр Михайлович</t>
  </si>
  <si>
    <t>Яровий Олександр Сергійович</t>
  </si>
  <si>
    <t>Литовченко Олександр Іванович</t>
  </si>
  <si>
    <t>Гарбуз Олег Сергійович</t>
  </si>
  <si>
    <t>Белан Олександр Володимирович</t>
  </si>
  <si>
    <t>Сиволапенко Олексій Андрійович</t>
  </si>
  <si>
    <t>Калінін Едуард Олегович</t>
  </si>
  <si>
    <t>Власова Оксана Юріївна</t>
  </si>
  <si>
    <t>Сайчук Володимир Сергійович</t>
  </si>
  <si>
    <t>Струль Єгор Борисович</t>
  </si>
  <si>
    <t>Гречан Максим Юрійович</t>
  </si>
  <si>
    <t>Сіренко Олександр Анатолійович</t>
  </si>
  <si>
    <t>Борисюк Ірина Іванівна</t>
  </si>
  <si>
    <t>Омельчук Андрій Петрович</t>
  </si>
  <si>
    <t>Риженко Людмила Іванівна</t>
  </si>
  <si>
    <t>Дегтярьов Ярослав Ігорович</t>
  </si>
  <si>
    <t>Онищук Людмила Миколаївна</t>
  </si>
  <si>
    <t>Венгеров Євген Олександрович</t>
  </si>
  <si>
    <t>Семенчук Євген  Олександрович</t>
  </si>
  <si>
    <t>Левченко   Роман Ігорович</t>
  </si>
  <si>
    <t>Львов</t>
  </si>
  <si>
    <t>Аренда холода</t>
  </si>
  <si>
    <t>Расходы на ГСМ транспорта</t>
  </si>
  <si>
    <t>Расходы ГСМ транспорта на доставку ГП</t>
  </si>
  <si>
    <t>Интернет</t>
  </si>
  <si>
    <t>Куриляк Михайло Володимирович</t>
  </si>
  <si>
    <t>Сало Богдан Іванович</t>
  </si>
  <si>
    <t>Іванов Євгеній Олександрович</t>
  </si>
  <si>
    <t>Расходы на содержание автопарка</t>
  </si>
  <si>
    <t>Ремонт и ТО транспорта</t>
  </si>
  <si>
    <t>Ремонт и техобслуживание транспорта</t>
  </si>
  <si>
    <t>Расходы на услуги вет. службы</t>
  </si>
  <si>
    <t>Куриляк Іван Володимирович</t>
  </si>
  <si>
    <t>Продивус Зіновій Іванович</t>
  </si>
  <si>
    <t>Цап'як Сергій Володимирович</t>
  </si>
  <si>
    <t>Найм транспорта</t>
  </si>
  <si>
    <t>Расходы по найму транспорта на доставку ГП</t>
  </si>
  <si>
    <t>ЦЕХ производства ЗПФ</t>
  </si>
  <si>
    <t>Зарплата</t>
  </si>
  <si>
    <t>Расходы на налоги</t>
  </si>
  <si>
    <t>Налоги на ФЗП</t>
  </si>
  <si>
    <t>Национальные сети</t>
  </si>
  <si>
    <t>Расходы по торговым точкам</t>
  </si>
  <si>
    <t>Ретро-бонусы</t>
  </si>
  <si>
    <t>Лелека ТД</t>
  </si>
  <si>
    <t>Директор по логистике</t>
  </si>
  <si>
    <t>Служба механника ЗПФ</t>
  </si>
  <si>
    <t>Внешняя логистика</t>
  </si>
  <si>
    <t>Ярова Лариса Андріївна</t>
  </si>
  <si>
    <t>Рожко Ігор Васильович</t>
  </si>
  <si>
    <t>Колишко Катерина Юріївна</t>
  </si>
  <si>
    <t>Крюков   Борис Олександрович</t>
  </si>
  <si>
    <t>Ярошенко Тетяна  Анатоліївна</t>
  </si>
  <si>
    <t>Лєбєдєва Яна Олександрівна</t>
  </si>
  <si>
    <t>Силенок Інга Юріївна</t>
  </si>
  <si>
    <t>Служба заготовки молока</t>
  </si>
  <si>
    <t>Финансово - экономический отдел</t>
  </si>
  <si>
    <t>Гричко В.А.</t>
  </si>
  <si>
    <t>Днепропетровск</t>
  </si>
  <si>
    <t>Савенко Ігор Геннадійович</t>
  </si>
  <si>
    <t>Савченко Кирило Геннадійович</t>
  </si>
  <si>
    <t>Клименко Юлія Вікторівна</t>
  </si>
  <si>
    <t>Лазнева Ірина Анатоліївна</t>
  </si>
  <si>
    <t>Ітімєнєва Каріна Євгеніївна</t>
  </si>
  <si>
    <t>Кондрашова Юлія Олександрівна</t>
  </si>
  <si>
    <t>Жижила Валентина Анатоліївна</t>
  </si>
  <si>
    <t>Кірієнко Сергій Валерійович</t>
  </si>
  <si>
    <t>Тарасова Тетяна Ігорівна</t>
  </si>
  <si>
    <t>Солонцова  Юлія Миколаївна</t>
  </si>
  <si>
    <t>Ліпська Юлія Володимирівна</t>
  </si>
  <si>
    <t>Пузерей Лілія Олегівна</t>
  </si>
  <si>
    <t>Вусатенко Олександр Володимирович</t>
  </si>
  <si>
    <t>Непомняща Вікторія Валеріївна</t>
  </si>
  <si>
    <t>Ророт Анастасія Вікторівна</t>
  </si>
  <si>
    <t>Укращонок Ганна Володимирівна</t>
  </si>
  <si>
    <t>Альянс Маркет ТОВ</t>
  </si>
  <si>
    <t>Харьков</t>
  </si>
  <si>
    <t>Мазур Олександр Сергійович</t>
  </si>
  <si>
    <t>Полапа Ігор Андрійович</t>
  </si>
  <si>
    <t>Осадча Юлія Анатоліївна</t>
  </si>
  <si>
    <t>Храмцова Дар’я Сергіївна</t>
  </si>
  <si>
    <t>Мирза Ольга Леонідівна</t>
  </si>
  <si>
    <t>Муравльов Роман Сергійович</t>
  </si>
  <si>
    <t>Одесса</t>
  </si>
  <si>
    <t>Аскерова Наталія Василівна</t>
  </si>
  <si>
    <t>Бевза Оксана Михайлівна</t>
  </si>
  <si>
    <t>Алексеєва Анжеліка Сергіївна</t>
  </si>
  <si>
    <t>Грачова Єлизавета Мойсеєвна</t>
  </si>
  <si>
    <t>Бекшанова Юлія Володимирівна</t>
  </si>
  <si>
    <t>Филимонов Костянтин Васильович</t>
  </si>
  <si>
    <t>Полянська Яніна Володимирівна</t>
  </si>
  <si>
    <t>Попов Ігор Станіславович</t>
  </si>
  <si>
    <t>Ільяшенко Альона Іванівна</t>
  </si>
  <si>
    <t>Дизайн продукта</t>
  </si>
  <si>
    <t>Служба механника Мороженого</t>
  </si>
  <si>
    <t>Ремонт производственных ОС</t>
  </si>
  <si>
    <t>Ремонт производственного оборудования</t>
  </si>
  <si>
    <t>Директор по продажам и фин инспектор</t>
  </si>
  <si>
    <t>Холодильное оборудование</t>
  </si>
  <si>
    <t>Тютюнников Андрій Іванович</t>
  </si>
  <si>
    <t>Ремонт торговых ОС</t>
  </si>
  <si>
    <t>Ремонт холодильного оборудования</t>
  </si>
  <si>
    <t>Смолкін Микола Миколайович</t>
  </si>
  <si>
    <t>Отдел закупок (Киев)</t>
  </si>
  <si>
    <t>Істраті Марина Юріївна</t>
  </si>
  <si>
    <t>Кононенко Сергій Миколайович</t>
  </si>
  <si>
    <t>Ковалевич Вікторія Володимирівна</t>
  </si>
  <si>
    <t>Степура Віта Вікторівна</t>
  </si>
  <si>
    <t>Расходы на списание брака списания сырья и тары</t>
  </si>
  <si>
    <t>Клише</t>
  </si>
  <si>
    <t>Генеральный директор</t>
  </si>
  <si>
    <t>Ушмаєв Дмитро Ігорович</t>
  </si>
  <si>
    <t>Стась Юлія Миколаївна</t>
  </si>
  <si>
    <t>Векленко Андрій Олександрович</t>
  </si>
  <si>
    <t>Расходы на общественную деятельность</t>
  </si>
  <si>
    <t>Імбекс Плюс</t>
  </si>
  <si>
    <t>Рознет ТОВ</t>
  </si>
  <si>
    <t>Директор производства</t>
  </si>
  <si>
    <t>КПП Завод</t>
  </si>
  <si>
    <t>Технолог ЗПФ</t>
  </si>
  <si>
    <t>Технолог Мороженое</t>
  </si>
  <si>
    <t>Руководитель технического отдела</t>
  </si>
  <si>
    <t>Служба главного энергетика</t>
  </si>
  <si>
    <t>ЦЕХ производства мороженого</t>
  </si>
  <si>
    <t>Директор</t>
  </si>
  <si>
    <t>Складская логистика</t>
  </si>
  <si>
    <t>Бухгалтерия</t>
  </si>
  <si>
    <t>ИТ отдел</t>
  </si>
  <si>
    <t>Вода</t>
  </si>
  <si>
    <t>Отдел контроля качества</t>
  </si>
  <si>
    <t>Мартус Валентина Михайлівна</t>
  </si>
  <si>
    <t>Расходы на лабораторные исследования</t>
  </si>
  <si>
    <t>Буджак Олена Леонідівна</t>
  </si>
  <si>
    <t>Штрихкодирование</t>
  </si>
  <si>
    <t>Расходы на услуги Стандартизации (договора и другое)</t>
  </si>
  <si>
    <t>Дистрибьюторы</t>
  </si>
  <si>
    <t>СНБ11 ТОВ</t>
  </si>
  <si>
    <t>Юридический отдел</t>
  </si>
  <si>
    <t>Семенюк Валентина Миколаївна</t>
  </si>
  <si>
    <t>Корольова Ірина Олександрівна</t>
  </si>
  <si>
    <t>Расходы на юридические и нотариальные услуги</t>
  </si>
  <si>
    <t>Капустін Павло Васильович</t>
  </si>
  <si>
    <t>Київстар ПрАТ</t>
  </si>
  <si>
    <t>Заскалета Сергій Борисович</t>
  </si>
  <si>
    <t>Жаворонков Сергій Вікторович</t>
  </si>
  <si>
    <t>Малов Михайло Олександрович</t>
  </si>
  <si>
    <t>МТС Україна ПРАТ</t>
  </si>
  <si>
    <t>Вислоцький Валерій Владиславович</t>
  </si>
  <si>
    <t>Отдел персонала</t>
  </si>
  <si>
    <t>Служба.обслуж.холод.оборуд.</t>
  </si>
  <si>
    <t>Служба безопасности</t>
  </si>
  <si>
    <t>Расходы на мойку оборудования и машин</t>
  </si>
  <si>
    <t>Расходы по найму транспорта на доставку сырья и тары</t>
  </si>
  <si>
    <t>Расходы на транспортировку торгового оборудования</t>
  </si>
  <si>
    <t>Павленко Володимир Вікторович</t>
  </si>
  <si>
    <t>Торкунов Олексій Михайлович</t>
  </si>
  <si>
    <t>Самсонов Дмитро Сергійович</t>
  </si>
  <si>
    <t>Кліменко Олександр Олександрович</t>
  </si>
  <si>
    <t>Бабюк Віталій Володимирович</t>
  </si>
  <si>
    <t>Бондар Алла Вікторівна</t>
  </si>
  <si>
    <t>Семчак Віталій Володимирович</t>
  </si>
  <si>
    <t>Вальт Інна Миколаївна</t>
  </si>
  <si>
    <t>Думчев Андрій  Михайлович</t>
  </si>
  <si>
    <t>Полішвайко Дмитро Юрійович</t>
  </si>
  <si>
    <t>Ремонт производственного холодильного оборудования</t>
  </si>
  <si>
    <t>Бражник Ігор Костянтинович</t>
  </si>
  <si>
    <t>Скорженко Василь Олексійович</t>
  </si>
  <si>
    <t>Скворцов Олексій Вікторович</t>
  </si>
  <si>
    <t>Кірєєв Юрій Вікторович</t>
  </si>
  <si>
    <t>Электроэнергия</t>
  </si>
  <si>
    <t>Стоки</t>
  </si>
  <si>
    <t>Газ</t>
  </si>
  <si>
    <t>Ремонт электро,тепло, водо оборудования</t>
  </si>
  <si>
    <t>Премия</t>
  </si>
  <si>
    <t>Лещенко Світлана Іванівна</t>
  </si>
  <si>
    <t>Единый налог</t>
  </si>
  <si>
    <t>Налог на землю</t>
  </si>
  <si>
    <t>НДС</t>
  </si>
  <si>
    <t>Налог на прибыль</t>
  </si>
  <si>
    <t>Амортизация</t>
  </si>
  <si>
    <t>Слободенюк Оксана Яківна</t>
  </si>
  <si>
    <t>Кіт Людмила Петрівна</t>
  </si>
  <si>
    <t>Себестоимость</t>
  </si>
  <si>
    <t>Прочие расходы</t>
  </si>
  <si>
    <t>Мащенко Тетяна Олександрівна</t>
  </si>
  <si>
    <t>Расходы на корпоративные мероприятия</t>
  </si>
  <si>
    <t>Расходы на поиск персонала</t>
  </si>
  <si>
    <t>Крижанівська Оксана Володимирівна</t>
  </si>
  <si>
    <t>Кірнос Артем Вікторович</t>
  </si>
  <si>
    <t>Тищенко Андрій Сергійович</t>
  </si>
  <si>
    <t>Лебедєва Олена Вікторівна</t>
  </si>
  <si>
    <t>Дейна Юлія Валеріївна</t>
  </si>
  <si>
    <t>Урушанян Рубен Едікович</t>
  </si>
  <si>
    <t>Соколенко Геннадій Михайлович</t>
  </si>
  <si>
    <t>Безусий Анатолій Васильович</t>
  </si>
  <si>
    <t>Задорожній Ростислав Олександрович</t>
  </si>
  <si>
    <t>Судаченко Артем Вікторович</t>
  </si>
  <si>
    <t>Осипов Сергій Вікторович</t>
  </si>
  <si>
    <t>Умурзаков Святослав Гуламжанович</t>
  </si>
  <si>
    <t>Непочатих Роман Сергійович</t>
  </si>
  <si>
    <t>Яцишин Василь Миколайович</t>
  </si>
  <si>
    <t>Петров Микола Володимирович</t>
  </si>
  <si>
    <t>Обидін м.Варва (Чернігівської обл.)</t>
  </si>
  <si>
    <t>Натела ООО (Харьков)</t>
  </si>
  <si>
    <t>Поліщук С.С. ( м. Умань Черкаської обл.)</t>
  </si>
  <si>
    <t>Євроморозпродукт ТОВ</t>
  </si>
  <si>
    <t>ФАЭТОН ООО</t>
  </si>
  <si>
    <t>Ласунка-Маркет ПП</t>
  </si>
  <si>
    <t>Троянда-Люкс</t>
  </si>
  <si>
    <t>Нова лінія АТ</t>
  </si>
  <si>
    <t>Сидоренко С.В.</t>
  </si>
  <si>
    <t>Корал-1 (м. Шостка Сумська обл.)</t>
  </si>
  <si>
    <t>Світ морозива (м. Чернігів)</t>
  </si>
  <si>
    <t>Гаврилюк Ю.Н.ЧП</t>
  </si>
  <si>
    <t>Промоакции ТК Дистрибьюторы</t>
  </si>
  <si>
    <t>Трейд-маркетинг ДИСТРИБЬЮТОРЫ</t>
  </si>
  <si>
    <t>Расходы на услуги Санитарной службы (договора и другое)</t>
  </si>
  <si>
    <t>Расходы на банковское обслуживание</t>
  </si>
  <si>
    <t>Клиент-банк</t>
  </si>
  <si>
    <t>Финансовые расходы</t>
  </si>
  <si>
    <t>Проценты по кредитам</t>
  </si>
  <si>
    <t>РКО</t>
  </si>
  <si>
    <t>Расходы на комиссию</t>
  </si>
  <si>
    <t>Комиссия прочая</t>
  </si>
  <si>
    <t>Расходы на получение и обслуживание кредитов</t>
  </si>
  <si>
    <t>Расходы на повышение эффективности налогов</t>
  </si>
  <si>
    <t>ГСМ транспорта производства и администрации</t>
  </si>
  <si>
    <t>Ремонт холодильного оборудования транспорта</t>
  </si>
  <si>
    <t>Транши по сетям</t>
  </si>
  <si>
    <t>СПАР-ЦЕНТР ООО</t>
  </si>
  <si>
    <t>Сфера ЧП</t>
  </si>
  <si>
    <t>Спар Луганськ</t>
  </si>
  <si>
    <t>Абсолют ТОВ ВКФ "ЛІА"  (Донецк)</t>
  </si>
  <si>
    <t>Тулліус-Компані ПП</t>
  </si>
  <si>
    <t>Старовойтов Юрій Олександрович</t>
  </si>
  <si>
    <t>Восторг ТОВ (м.Харків)</t>
  </si>
  <si>
    <t>Бака Лілія Олексіївна</t>
  </si>
  <si>
    <t>Жук Олена Миколаївна</t>
  </si>
  <si>
    <t>Барвінок Торгова мережа (Барвінок)</t>
  </si>
  <si>
    <t>Маркет Рітейл ТОВ</t>
  </si>
  <si>
    <t>Союз Супермаркетов Харькова 000 (Харьков)</t>
  </si>
  <si>
    <t>Континент-Торг (Свободи) (Континент)</t>
  </si>
  <si>
    <t>Шереметьев О.Є.</t>
  </si>
  <si>
    <t>Континіум-Трейд ТзОВ</t>
  </si>
  <si>
    <t>Адвентіс</t>
  </si>
  <si>
    <t>Рітейл Груп Україна</t>
  </si>
  <si>
    <t>Абсолют ТОВ ВКФ "ЛІА"  (Киев)</t>
  </si>
  <si>
    <t>Вопак-Трейд</t>
  </si>
  <si>
    <t>ТС плюс</t>
  </si>
  <si>
    <t>Мельник І.В.(Короленка 53,57)</t>
  </si>
  <si>
    <t>Мельник О.С.(Воссоединения 5)</t>
  </si>
  <si>
    <t>Вест Лайн Маркет</t>
  </si>
  <si>
    <t>Копейка-Р ТОВ</t>
  </si>
  <si>
    <t>Таврія Плюс</t>
  </si>
  <si>
    <t>Ашан Україна Гіпермаркет</t>
  </si>
  <si>
    <t>Фора</t>
  </si>
  <si>
    <t>Новус Україна ТОВ</t>
  </si>
  <si>
    <t>МЕТРО кеш енд Кері Україна</t>
  </si>
  <si>
    <t>Білла-Україна</t>
  </si>
  <si>
    <t>Еко ТОВ</t>
  </si>
  <si>
    <t>Экспансия ООО Киев</t>
  </si>
  <si>
    <t>Фуршет Центр ДП</t>
  </si>
  <si>
    <t>Фудмаркет ТОВ</t>
  </si>
  <si>
    <t>Фоззі-Фуд РЦ (пельмени)</t>
  </si>
  <si>
    <t>Сучасний модерн ТОВ (Харьков)</t>
  </si>
  <si>
    <t>Укр-Трейд,ТОВ (м.Харків)</t>
  </si>
  <si>
    <t>СТАМА ТОВ</t>
  </si>
  <si>
    <t>Аргон ТОВ</t>
  </si>
  <si>
    <t>Край-2</t>
  </si>
  <si>
    <t>Арго-Р ТзОВ</t>
  </si>
  <si>
    <t>Бімаркет (Чугуївський)</t>
  </si>
  <si>
    <t>Новая Торговая Сеть ТП ООО (Харьков) Юля</t>
  </si>
  <si>
    <t>Львівхолод ТзОВ ТВК</t>
  </si>
  <si>
    <t>Салют ТД ПП</t>
  </si>
  <si>
    <t>Трейд-маркетинг СЕТИ</t>
  </si>
  <si>
    <t>ФУРШЕТ РЕГІОН ДП</t>
  </si>
  <si>
    <t>Білик Дмитро Вікторович</t>
  </si>
  <si>
    <t>Ввод новых позиций</t>
  </si>
  <si>
    <t>Вход в новые торговые точки</t>
  </si>
  <si>
    <t>Білоус Іван Петрович</t>
  </si>
  <si>
    <t>Вест Лайн ТД</t>
  </si>
  <si>
    <t>Савін Олексій Леонідович</t>
  </si>
  <si>
    <t>Украинский Ритейл ООО (Брусниця)</t>
  </si>
  <si>
    <t>Омега ООО (Варус)</t>
  </si>
  <si>
    <t>Амстор  Торгівельний будинок ТОВ</t>
  </si>
  <si>
    <t>АТБ-маркет РЦ</t>
  </si>
  <si>
    <t>МДАЧА ТОВ</t>
  </si>
  <si>
    <t>Забарний Віталій Володимирович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</si>
  <si>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</si>
  <si>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</si>
  <si>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</si>
  <si>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</si>
  <si>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</si>
  <si>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</si>
  <si>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</si>
  <si>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</si>
  <si>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</si>
  <si>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</si>
  <si>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</si>
  <si>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</si>
  <si>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Дизайн макетов</t>
  </si>
  <si>
    <t>Рекламно - сувенирная продукция</t>
  </si>
  <si>
    <t>Маркетинговые исследования</t>
  </si>
  <si>
    <t>Исследования агенств</t>
  </si>
  <si>
    <t>Продеус Наталія Ярославівна</t>
  </si>
  <si>
    <t>Дополнительное рекламное оборудование</t>
  </si>
  <si>
    <t>Cбор за геологоразведочные работы</t>
  </si>
  <si>
    <t>Cбор за специальное водопользование</t>
  </si>
  <si>
    <t>Экологический налог</t>
  </si>
  <si>
    <t>Расходы на страхование транспорта</t>
  </si>
  <si>
    <t>Брендирование торговых точек</t>
  </si>
  <si>
    <t>Внешний консалтинг</t>
  </si>
  <si>
    <t>Реклама на ТВ</t>
  </si>
  <si>
    <t>Реклама на радио</t>
  </si>
  <si>
    <t>Кухта І І</t>
  </si>
  <si>
    <t>Технологические расходы производства (документация)</t>
  </si>
  <si>
    <t>Брендирование авто</t>
  </si>
  <si>
    <t>Оборотки сетей</t>
  </si>
  <si>
    <t>Наружная реклама</t>
  </si>
  <si>
    <t>Расходы на подписку</t>
  </si>
  <si>
    <t>Малуха Ганна Вікторівна</t>
  </si>
  <si>
    <t>Евротек</t>
  </si>
  <si>
    <t>Скиба Павло Ярославович</t>
  </si>
  <si>
    <t>Расходы на выставку</t>
  </si>
  <si>
    <t>Общий итог</t>
  </si>
  <si>
    <t>Структура ПНЛ</t>
  </si>
  <si>
    <t>Статья ПНЛ</t>
  </si>
  <si>
    <t>Проект</t>
  </si>
  <si>
    <t>Маркетинг (Власенко С.)</t>
  </si>
  <si>
    <t>ТМ</t>
  </si>
  <si>
    <t>Производственная (Мельник В.)</t>
  </si>
  <si>
    <t>Сети (Старовойтов Ю.)</t>
  </si>
  <si>
    <t>Сети</t>
  </si>
  <si>
    <t>Логистическая (Маковеев Н.)</t>
  </si>
  <si>
    <t>Админ. (Сейранов А.)</t>
  </si>
  <si>
    <t>Генеральный (Ушмаев Д.)</t>
  </si>
  <si>
    <t>Дистрибьюторы (Тищенко А.)</t>
  </si>
  <si>
    <t>Прочие доходы</t>
  </si>
  <si>
    <t>Доход от реализации (чистые продажи)</t>
  </si>
  <si>
    <t>Продажи 1 категории</t>
  </si>
  <si>
    <t>Продажи 1 категории Дистрибьюторы</t>
  </si>
  <si>
    <t>Продажи 1 категории Сети</t>
  </si>
  <si>
    <t>Продажи в КГ</t>
  </si>
  <si>
    <t>Производство кг</t>
  </si>
  <si>
    <t>Показатель</t>
  </si>
  <si>
    <t>кг</t>
  </si>
  <si>
    <t>грн</t>
  </si>
  <si>
    <t xml:space="preserve"> Общий итог</t>
  </si>
  <si>
    <t>Отчет о совокупной прибыли и убытках</t>
  </si>
  <si>
    <t>ПОКАЗАТЕЛИ</t>
  </si>
  <si>
    <t>Сумма, грн.</t>
  </si>
  <si>
    <t>Структура, %</t>
  </si>
  <si>
    <t>Дисконт</t>
  </si>
  <si>
    <t>Доля с-сти в 1 категории</t>
  </si>
  <si>
    <t>Валовая прибыль, грн.</t>
  </si>
  <si>
    <t>Производственная</t>
  </si>
  <si>
    <t>Маржа, грн.</t>
  </si>
  <si>
    <t>Логистическая</t>
  </si>
  <si>
    <t>Админ.</t>
  </si>
  <si>
    <t>EBITDA</t>
  </si>
  <si>
    <t>EBIT</t>
  </si>
  <si>
    <t>EBT</t>
  </si>
  <si>
    <t>Чистая прибыль / ROS, %</t>
  </si>
  <si>
    <t>Январь ГОД</t>
  </si>
  <si>
    <t>Февраль ГОД</t>
  </si>
  <si>
    <t>Март ГОД</t>
  </si>
  <si>
    <t>Апрель ГОД</t>
  </si>
  <si>
    <t>Май ГОД</t>
  </si>
  <si>
    <t>Июнь ГОД</t>
  </si>
  <si>
    <t>Июль ГОД</t>
  </si>
  <si>
    <t>Август ГОД</t>
  </si>
  <si>
    <t>Сентябрь ГОД</t>
  </si>
  <si>
    <t>Октябрь ГОД</t>
  </si>
  <si>
    <t>Ноябрь ГОД</t>
  </si>
  <si>
    <t>Декабрь ГОД</t>
  </si>
  <si>
    <t>ИТОГО ГОД</t>
  </si>
  <si>
    <t>Продажи 1 категории ИТОГО:</t>
  </si>
  <si>
    <t xml:space="preserve">Отчет о совокупной прибыли и убытках </t>
  </si>
  <si>
    <t>компании  "Три Медведя" по ответственным 2014</t>
  </si>
  <si>
    <t>2014 план</t>
  </si>
  <si>
    <t>2011 факт</t>
  </si>
  <si>
    <t>2012 факт</t>
  </si>
  <si>
    <t>Изм. структуре 2013 - 2012</t>
  </si>
  <si>
    <t>%</t>
  </si>
  <si>
    <t>Продажи в кг</t>
  </si>
  <si>
    <t>Доля с-сти в 1 категории, %</t>
  </si>
  <si>
    <t>Все расходы по ЦЗ</t>
  </si>
  <si>
    <t>МАРКЕТИНГ КОМПАНИИ</t>
  </si>
  <si>
    <t>МАРКЕТИНГ</t>
  </si>
  <si>
    <t>ТРЕЙД МАРКЕТИНГ</t>
  </si>
  <si>
    <t>Чистая прибыль</t>
  </si>
  <si>
    <t>Чистая прибыль (может быть)</t>
  </si>
  <si>
    <t>Может быть</t>
  </si>
  <si>
    <t>Ретро-бонусы (марке дист)</t>
  </si>
  <si>
    <t>економия, если будет ставка по грейдам, без премии</t>
  </si>
  <si>
    <t>Расходы на рекламу и ПР</t>
  </si>
  <si>
    <t>Налоги друзей</t>
  </si>
  <si>
    <t>Итого</t>
  </si>
  <si>
    <t>2013 факт</t>
  </si>
  <si>
    <t>Отчет о совокупной прибыли и убытках компании  "Три Медведя" факт 2011 - 2013, план - 2014</t>
  </si>
  <si>
    <t>налоги</t>
  </si>
  <si>
    <t>ИТОГО 2014</t>
  </si>
  <si>
    <t>2013 / 2014</t>
  </si>
  <si>
    <t>ИТОГО</t>
  </si>
  <si>
    <t>Моделирование ручное</t>
  </si>
  <si>
    <t>Модель с переменными</t>
  </si>
  <si>
    <t>Атлантік Буд</t>
  </si>
  <si>
    <t>АЛЬФА-РИТЕЙЛ  ООО (Харьков)</t>
  </si>
  <si>
    <t>Ужгород П.С.Ю. ТОВ</t>
  </si>
  <si>
    <t>Юль Соф ТзОВ</t>
  </si>
  <si>
    <t>сети</t>
  </si>
  <si>
    <t>дистры</t>
  </si>
  <si>
    <t>оборот, грн</t>
  </si>
  <si>
    <t>%%</t>
  </si>
  <si>
    <t>продажи по 1 кат</t>
  </si>
  <si>
    <t>чистые родажи</t>
  </si>
  <si>
    <t>с/с</t>
  </si>
  <si>
    <t>производство</t>
  </si>
  <si>
    <t>команда логистики</t>
  </si>
  <si>
    <t>маркетинг</t>
  </si>
  <si>
    <t>администрация</t>
  </si>
  <si>
    <t>амортизация общая</t>
  </si>
  <si>
    <t>фин расходы</t>
  </si>
  <si>
    <t>аренда для всех+Львов</t>
  </si>
  <si>
    <t>найм (внутренняя логистика)</t>
  </si>
  <si>
    <t>МАРЖА</t>
  </si>
  <si>
    <t>ОБОРОТ</t>
  </si>
  <si>
    <t>логистика</t>
  </si>
  <si>
    <t>найм (доставка до ТТ, внеш логист)</t>
  </si>
  <si>
    <t>аренда для сетей</t>
  </si>
  <si>
    <t xml:space="preserve">продажи </t>
  </si>
  <si>
    <t>ретро бонус</t>
  </si>
  <si>
    <t>входы/вводы</t>
  </si>
  <si>
    <t>транш</t>
  </si>
  <si>
    <t>трейд-марке</t>
  </si>
  <si>
    <t>размещение ТО</t>
  </si>
  <si>
    <t>скидка</t>
  </si>
  <si>
    <t>торговая команда</t>
  </si>
  <si>
    <t>амортизация ТО</t>
  </si>
  <si>
    <t>списание</t>
  </si>
  <si>
    <t>прибыль</t>
  </si>
  <si>
    <t>Доли, %</t>
  </si>
  <si>
    <t>продажи, кг</t>
  </si>
  <si>
    <t>Переменные расходы</t>
  </si>
  <si>
    <t>Постоянные расходы</t>
  </si>
  <si>
    <t>Точка б/убыт-сти 1 кат</t>
  </si>
  <si>
    <t>Запас прочности</t>
  </si>
  <si>
    <t>транши</t>
  </si>
  <si>
    <t>Прогноз:</t>
  </si>
  <si>
    <t>Продажи 1 кат</t>
  </si>
  <si>
    <t>Продажи ЧП</t>
  </si>
  <si>
    <t>Чистая прибыль ROS</t>
  </si>
  <si>
    <t>прочее</t>
  </si>
  <si>
    <t>ремонт ОС</t>
  </si>
  <si>
    <t>прочие доходы</t>
  </si>
  <si>
    <t>2014 / 2013</t>
  </si>
  <si>
    <t>ИТОГО 2013</t>
  </si>
  <si>
    <t>структура, %</t>
  </si>
  <si>
    <t>прочий доход</t>
  </si>
  <si>
    <t>Команда сети</t>
  </si>
  <si>
    <t>Команда дистры</t>
  </si>
  <si>
    <t>Прочие прож (холод, + фин инсп)</t>
  </si>
  <si>
    <t>Пост / Пер</t>
  </si>
  <si>
    <t>Постоянные</t>
  </si>
  <si>
    <t>Переменные</t>
  </si>
  <si>
    <t>Скидка</t>
  </si>
  <si>
    <t>Доходы и расходы бюджета на 2014 год</t>
  </si>
  <si>
    <t>Год</t>
  </si>
  <si>
    <t>найм доставка ТО</t>
  </si>
  <si>
    <t>найм прочий (сырье+молоко)</t>
  </si>
  <si>
    <t>Комиссия при продаже валюты</t>
  </si>
  <si>
    <t>Комиссия при покупке валюты</t>
  </si>
  <si>
    <t>Расходы на открытие (закрытие) счетов</t>
  </si>
  <si>
    <t>Расходы на лабораторные иследования</t>
  </si>
  <si>
    <t>Расходы на штрафы и пени</t>
  </si>
  <si>
    <t>Ремонт зданий и сооружений</t>
  </si>
  <si>
    <t>АХО</t>
  </si>
  <si>
    <t>Рекламные кампании</t>
  </si>
  <si>
    <t>Налог с владельцев транспортных средств</t>
  </si>
  <si>
    <t>Сбор за загрязнение ОС</t>
  </si>
  <si>
    <t>Страхование активов в залоге</t>
  </si>
  <si>
    <t>Убытки от курсовых разниц</t>
  </si>
  <si>
    <t>Расходы ГСМ транспорта на доставку сырья</t>
  </si>
  <si>
    <t>Расходы на постановку (снятие) на учёт транспорта</t>
  </si>
  <si>
    <t>Расходы на списание недостачи по инвентаризациям</t>
  </si>
  <si>
    <t>Белая Церковь</t>
  </si>
  <si>
    <t>Киев Розница</t>
  </si>
  <si>
    <t>Черкассы</t>
  </si>
  <si>
    <t>Брендирование торгового оборудования</t>
  </si>
  <si>
    <t>прочие расходы</t>
  </si>
  <si>
    <t>Постоянные, грн/кг</t>
  </si>
  <si>
    <t>Цена 1 кат, грн/кг</t>
  </si>
  <si>
    <t>с/с, грн/кг</t>
  </si>
  <si>
    <t>переменные грн/кг</t>
  </si>
  <si>
    <t>Маржа, грн/кг</t>
  </si>
  <si>
    <t>Прибыль, грн/кг</t>
  </si>
  <si>
    <t>Расходы на перевозку ларей</t>
  </si>
  <si>
    <t>Возврат ларей</t>
  </si>
  <si>
    <t>Расходы на формирование резерва</t>
  </si>
  <si>
    <t xml:space="preserve"> </t>
  </si>
  <si>
    <t>АТБ</t>
  </si>
  <si>
    <t>ВК</t>
  </si>
  <si>
    <t>Ашан</t>
  </si>
  <si>
    <t>Новус</t>
  </si>
  <si>
    <t>Билла</t>
  </si>
  <si>
    <t>Агроконтакт</t>
  </si>
  <si>
    <t xml:space="preserve">компании  ООО"FBC" на 2017 год </t>
  </si>
  <si>
    <t>Февраль Год</t>
  </si>
  <si>
    <t>Январь Год</t>
  </si>
  <si>
    <t>УТВЕРЖДАЮ _______________________                                                                                  Директор ООО "FBC"</t>
  </si>
  <si>
    <t>ГЕНЕРАЛЬНЫЙ ДИРЕКТОР</t>
  </si>
  <si>
    <t>ФИНАНСОВЫЙ ДИРЕКТОР</t>
  </si>
  <si>
    <t>ДИРЕКТОР ПО ПРОДАЖАМ</t>
  </si>
  <si>
    <t>КОММЕРЧЕСКИЙ ДИРЕКТОР</t>
  </si>
  <si>
    <t>ЮРИСТ (АУТ)</t>
  </si>
  <si>
    <t>СБ</t>
  </si>
  <si>
    <t>НТО</t>
  </si>
  <si>
    <t>Логист</t>
  </si>
  <si>
    <t>Бухгалтер-операционист</t>
  </si>
  <si>
    <t>Супервайзер</t>
  </si>
  <si>
    <t>Завскладом</t>
  </si>
  <si>
    <t>Финансовый менеджер</t>
  </si>
  <si>
    <t>Торговый агент</t>
  </si>
  <si>
    <t>Кладовщик</t>
  </si>
  <si>
    <t>Программист (АУТ)</t>
  </si>
  <si>
    <t>Сис. Админ. (АУТ)</t>
  </si>
  <si>
    <t>Завгар-механик</t>
  </si>
  <si>
    <t>Трейд-маркетолог</t>
  </si>
  <si>
    <t>Водитель</t>
  </si>
  <si>
    <t>Снабженец</t>
  </si>
  <si>
    <t>Инвестиции</t>
  </si>
  <si>
    <t>ИТОГО ГОД  2017</t>
  </si>
  <si>
    <t>Таблица 2… Расчет эффективности инвистиций на 2015 год.</t>
  </si>
  <si>
    <t>Ниже представлен укрупненный баланс компании</t>
  </si>
  <si>
    <t>Активы ('000)</t>
  </si>
  <si>
    <t>Пассивы ('000)</t>
  </si>
  <si>
    <t>Оборотные средства</t>
  </si>
  <si>
    <t>Кр.-срочные задолженности</t>
  </si>
  <si>
    <t>Долгосрочные задолженности</t>
  </si>
  <si>
    <t>Основные средства</t>
  </si>
  <si>
    <t>@</t>
  </si>
  <si>
    <t>Собственный</t>
  </si>
  <si>
    <t>капитал</t>
  </si>
  <si>
    <t xml:space="preserve">Предприятие планирует инвестировать дополнительно в развитие бизнеса </t>
  </si>
  <si>
    <t xml:space="preserve">тыс. грн, из которых </t>
  </si>
  <si>
    <t>составляют заемные средства</t>
  </si>
  <si>
    <t>Годовой доход компании составляет</t>
  </si>
  <si>
    <t>тыс. грн.</t>
  </si>
  <si>
    <t xml:space="preserve">Дополнительный доход компании по прогнозам маркетологов должен составить </t>
  </si>
  <si>
    <t>Рассчитать величину экономической добавленной стоимости при условии, что стоимость вновь привлеченных источников совпадает со стоимостью имеющихся.</t>
  </si>
  <si>
    <t>Расчеты выполнить, используя следующую таблицу:</t>
  </si>
  <si>
    <t xml:space="preserve">Ставка налога на прибыль </t>
  </si>
  <si>
    <t>Капитал</t>
  </si>
  <si>
    <t>Прибыльность продаж</t>
  </si>
  <si>
    <t>Долг</t>
  </si>
  <si>
    <t>Собственный  капитал</t>
  </si>
  <si>
    <t xml:space="preserve">Базовый </t>
  </si>
  <si>
    <t xml:space="preserve">После </t>
  </si>
  <si>
    <t>вариант</t>
  </si>
  <si>
    <t>инвестиций</t>
  </si>
  <si>
    <t xml:space="preserve">Выручка </t>
  </si>
  <si>
    <t>рост продаж</t>
  </si>
  <si>
    <t>Операционная прибыль</t>
  </si>
  <si>
    <t>Процентные платежи</t>
  </si>
  <si>
    <t xml:space="preserve">Чистая прибыль </t>
  </si>
  <si>
    <t>ROE</t>
  </si>
  <si>
    <t>Собственный капитал</t>
  </si>
  <si>
    <t>Затраты на собственный капитал (в тыс. грн.)</t>
  </si>
  <si>
    <t>Добавленная стоимость (EVA)</t>
  </si>
  <si>
    <t>Ваши выводы и рекомендации ???!!!!</t>
  </si>
  <si>
    <t>Можно инвестировать так как величина добавленой стоимости состовляет 26тыс грн, при этом нужно обратить внимание, что</t>
  </si>
  <si>
    <t>в предыдущем году EVA, состовляла 66тыс. Грн, тоесть больше чем в планированом году, необходимо увеличить структуру финансирования в пользу заемных средств</t>
  </si>
  <si>
    <t>например до 75% и мы получим уровень добавленой стоимости прошлого года</t>
  </si>
  <si>
    <t>Выполнить прогноз денежных потоков и оценить показатели NPV, IRR, DPB инвестиционного проекта,</t>
  </si>
  <si>
    <t>принимая во внимание следующие исходные данные</t>
  </si>
  <si>
    <t xml:space="preserve">Инвестиционные потребности проекта </t>
  </si>
  <si>
    <t>Направление инвестирования</t>
  </si>
  <si>
    <t>Структура</t>
  </si>
  <si>
    <t>Сумма, тыс. грн.</t>
  </si>
  <si>
    <t>Всего инвестиций</t>
  </si>
  <si>
    <t>Остаточная стоимость основных средств</t>
  </si>
  <si>
    <t>Источники финансирования</t>
  </si>
  <si>
    <t>тип финансирования</t>
  </si>
  <si>
    <t>Стоимость</t>
  </si>
  <si>
    <t>Собственные средства</t>
  </si>
  <si>
    <t>Заемные средства</t>
  </si>
  <si>
    <t>Всего</t>
  </si>
  <si>
    <t>Финансовые показатели проекта</t>
  </si>
  <si>
    <t>Значение</t>
  </si>
  <si>
    <t>Дополнительный доход, тыс. грн.</t>
  </si>
  <si>
    <t>Маржинальная прибыль в процентах</t>
  </si>
  <si>
    <t>2.1 Расчет издержек проекта</t>
  </si>
  <si>
    <t>Переменные издержки за год, в тыс. грн.</t>
  </si>
  <si>
    <t>Постоянные издержки за год, тыс. грн.</t>
  </si>
  <si>
    <t>Амортизация (линейная на 5 лет), тыс. грн.</t>
  </si>
  <si>
    <t>2.2 Расчет взвешенной средней стоимости капитала</t>
  </si>
  <si>
    <t>Источник финансирования</t>
  </si>
  <si>
    <t>Доля, %</t>
  </si>
  <si>
    <t>Стоимость, %</t>
  </si>
  <si>
    <t>WACC, %</t>
  </si>
  <si>
    <t>2.3 Прогноз денежных потоков по традиционному методу '000</t>
  </si>
  <si>
    <t>Допущение: дополнительный доход по пректу остается неизменным в течение всех пяти лет проекта</t>
  </si>
  <si>
    <t>Срок реализации проекта (по годам)</t>
  </si>
  <si>
    <t>Доход</t>
  </si>
  <si>
    <t>переменные издержки</t>
  </si>
  <si>
    <t>постоянные издержки</t>
  </si>
  <si>
    <t>налог на прибыль</t>
  </si>
  <si>
    <t>Остаточная стоимость оборудования</t>
  </si>
  <si>
    <t>Высвобождение оборотных средств</t>
  </si>
  <si>
    <t>Чистый денежный поток (CF)</t>
  </si>
  <si>
    <t>Чистый дисконтированный CF (DCF)</t>
  </si>
  <si>
    <t>Накопленный (DCF)</t>
  </si>
  <si>
    <t>2.4. Расчет показателей эффективности проекта</t>
  </si>
  <si>
    <t>DPB=</t>
  </si>
  <si>
    <t>NPV=</t>
  </si>
  <si>
    <t>IRR=</t>
  </si>
  <si>
    <r>
      <t xml:space="preserve">Проект можно принять, так как NPV положительное и IRR имеет уровень выше чем среднезвешенная стоимость капитала на </t>
    </r>
    <r>
      <rPr>
        <sz val="12"/>
        <color rgb="FFFF0000"/>
        <rFont val="Arial"/>
        <family val="2"/>
        <charset val="204"/>
      </rPr>
      <t>1,85%</t>
    </r>
    <r>
      <rPr>
        <sz val="12"/>
        <rFont val="Arial"/>
        <family val="2"/>
      </rPr>
      <t xml:space="preserve">, при этом нужно обратить внимание, что запас прочности по NPV небольшой </t>
    </r>
    <r>
      <rPr>
        <sz val="12"/>
        <color rgb="FFFF0000"/>
        <rFont val="Arial"/>
        <family val="2"/>
        <charset val="204"/>
      </rPr>
      <t>5,31%</t>
    </r>
  </si>
  <si>
    <t>Исходные данные</t>
  </si>
  <si>
    <t>Стоимость ресурсов</t>
  </si>
  <si>
    <t>Объем продаж за год (в натуральном выражении), кг.</t>
  </si>
  <si>
    <t>Маржа</t>
  </si>
  <si>
    <t>Переменные издержки за год</t>
  </si>
  <si>
    <t>средняя стоимость единицы товара, грнкг</t>
  </si>
  <si>
    <t>переменные накладные издержки на единицу, грн/кг</t>
  </si>
  <si>
    <t>Постоянные издержки за год (без амортизации), грн.</t>
  </si>
  <si>
    <t>Амортизация за год, грн.</t>
  </si>
  <si>
    <t>Расчет стоимости капитала проекта</t>
  </si>
  <si>
    <t>Взвешенная стоимость, %</t>
  </si>
  <si>
    <t>Расчет графика обслуживания долга</t>
  </si>
  <si>
    <t>Начальный баланс долга</t>
  </si>
  <si>
    <t>Погашение долга</t>
  </si>
  <si>
    <t>Проценты</t>
  </si>
  <si>
    <t>Годовая выплата</t>
  </si>
  <si>
    <t>Конечный баланс долга</t>
  </si>
  <si>
    <t>Оценка эффективности проекта традиционным методом</t>
  </si>
  <si>
    <t>Выручка</t>
  </si>
  <si>
    <t>амортизация</t>
  </si>
  <si>
    <t>Чистый денежный поток</t>
  </si>
  <si>
    <t>Дисконтированный CF (DCF)</t>
  </si>
  <si>
    <t>Накопленный DCF</t>
  </si>
  <si>
    <t>NPV</t>
  </si>
  <si>
    <t>IRR</t>
  </si>
  <si>
    <t>DPB</t>
  </si>
  <si>
    <t>Оценка эффективности проекта методом собственного капитала</t>
  </si>
  <si>
    <t>процентные платежи</t>
  </si>
  <si>
    <t>Прибыль до налога</t>
  </si>
  <si>
    <t>Погашение основной части долга</t>
  </si>
  <si>
    <t>Таблица 3.3.1 Исходные данные.</t>
  </si>
  <si>
    <t>Показатели</t>
  </si>
  <si>
    <t>Данные</t>
  </si>
  <si>
    <t>Сумма маркетинговых инвестиций, тыс. грн. (затраты)</t>
  </si>
  <si>
    <t>Сумма маркетинговых инвестиций, тыс. грн. (ОС)</t>
  </si>
  <si>
    <t>Сумма инвестиций тыс. грн.</t>
  </si>
  <si>
    <t>Заемные тыс. грн.</t>
  </si>
  <si>
    <t>Собственные тыс. грн.</t>
  </si>
  <si>
    <t>Итого сумма тыс .грн.</t>
  </si>
  <si>
    <t>Стоимость заемного капитала, %</t>
  </si>
  <si>
    <t>Стоимость собственных средств, %</t>
  </si>
  <si>
    <t>Средневзвешанная ставка, %</t>
  </si>
  <si>
    <t>Ожидаемый срок активного эффекта инвестиций (годы)</t>
  </si>
  <si>
    <t>Годовой объем продаж 2013г., тыс. грн.</t>
  </si>
  <si>
    <t>Маржинальный доход по группе продуктов,%</t>
  </si>
  <si>
    <t>Аммортизация от новых инвистиций, тыс. грн.</t>
  </si>
  <si>
    <t xml:space="preserve">Постоянные затраты 2013г., тыс. грн. </t>
  </si>
  <si>
    <t xml:space="preserve">   в том числе амортизация</t>
  </si>
  <si>
    <t>Прогноз дополнительных денежных потоков</t>
  </si>
  <si>
    <t>Таблица 3.3.2 Денежный поток без инвестиций</t>
  </si>
  <si>
    <t>Годы</t>
  </si>
  <si>
    <t>Доход от продаж</t>
  </si>
  <si>
    <t>Переменные затраты</t>
  </si>
  <si>
    <t>Маржинальный доход</t>
  </si>
  <si>
    <t>Постоянные затраты</t>
  </si>
  <si>
    <t>Проценты по кредиту</t>
  </si>
  <si>
    <t>Добавить амортизацию</t>
  </si>
  <si>
    <t>Таблица 3.3.3 График обслуживания заемных средств.</t>
  </si>
  <si>
    <t>доли ТМ</t>
  </si>
  <si>
    <t xml:space="preserve"> Таблица 3.3.4 Денежный поток после маркетинговых инвестиций.</t>
  </si>
  <si>
    <t>заберем из общего прироста за 3 года</t>
  </si>
  <si>
    <t>Рост объема продаж за счет инвестиций по годам</t>
  </si>
  <si>
    <t>Проценты по кредиту (займ под проэкт)</t>
  </si>
  <si>
    <t>Результирующий чистый денежный поток</t>
  </si>
  <si>
    <t>Дисконтированный денежный поток</t>
  </si>
  <si>
    <t>Накопленный дисконтированный денежный поток</t>
  </si>
  <si>
    <t>Показатели эффективности маркетинговых инвестиций</t>
  </si>
  <si>
    <t>Исходные допущения</t>
  </si>
  <si>
    <t>Инвестиционная оценка</t>
  </si>
  <si>
    <t>Использование только собственных средств</t>
  </si>
  <si>
    <t>Инвестиционные потребности</t>
  </si>
  <si>
    <t>Прогноз денежные потоков</t>
  </si>
  <si>
    <t>Объем инвестиций в оборудование</t>
  </si>
  <si>
    <t>Объем инвестиций в оборотные средства</t>
  </si>
  <si>
    <t>Доход о продаж</t>
  </si>
  <si>
    <t xml:space="preserve">Всего </t>
  </si>
  <si>
    <t xml:space="preserve">Срок амортизации </t>
  </si>
  <si>
    <t>года</t>
  </si>
  <si>
    <t>Маржинальная прибыль</t>
  </si>
  <si>
    <t xml:space="preserve">Остаточная стоимость оборудования </t>
  </si>
  <si>
    <t>Истоники финансирования</t>
  </si>
  <si>
    <t>Процентная ставка кредита</t>
  </si>
  <si>
    <t>Терминальное значение</t>
  </si>
  <si>
    <t xml:space="preserve">Срок кредитования </t>
  </si>
  <si>
    <t>Чистый операционная CF</t>
  </si>
  <si>
    <t>Стоимость собственного капитала</t>
  </si>
  <si>
    <t>Экономические показатели бизнеса</t>
  </si>
  <si>
    <t>Денежный поток (CF)</t>
  </si>
  <si>
    <t>Ожидаемый средний годовой доход</t>
  </si>
  <si>
    <t>Средняя маржинальная прибыль</t>
  </si>
  <si>
    <t>Оценка постоянных накладных затрат без АМО</t>
  </si>
  <si>
    <t>MIRR</t>
  </si>
  <si>
    <t>Использование собственных и заемных средств</t>
  </si>
  <si>
    <t>График погашения долга</t>
  </si>
  <si>
    <t>год</t>
  </si>
  <si>
    <t>WAAG</t>
  </si>
  <si>
    <t>Чистая прибыль до налога</t>
  </si>
  <si>
    <t>Вычесть тело кредита</t>
  </si>
  <si>
    <t>Чистый операционный CF</t>
  </si>
  <si>
    <t>акционер 2018 год</t>
  </si>
  <si>
    <t>Грузчик</t>
  </si>
  <si>
    <t>Главный 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</si>
</sst>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64" formatCode="#,##0&quot;р.&quot;;\-#,##0&quot;р.&quot;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\ _г_р_н_._-;\-* #,##0\ _г_р_н_._-;_-* &quot;-&quot;\ _г_р_н_._-;_-@_-"/>
    <numFmt numFmtId="169" formatCode="_-* #,##0.00\ &quot;грн.&quot;_-;\-* #,##0.00\ &quot;грн.&quot;_-;_-* &quot;-&quot;??\ &quot;грн.&quot;_-;_-@_-"/>
    <numFmt numFmtId="170" formatCode="_-* #,##0.00\ _г_р_н_._-;\-* #,##0.00\ _г_р_н_._-;_-* &quot;-&quot;??\ _г_р_н_._-;_-@_-"/>
    <numFmt numFmtId="171" formatCode="#,##0&quot;₴&quot;;\-#,##0&quot;₴&quot;"/>
    <numFmt numFmtId="172" formatCode="_-* #,##0.00_р_._-;\-* #,##0.00_р_._-;_-* \-??_р_._-;_-@_-"/>
    <numFmt numFmtId="173" formatCode="0.0"/>
    <numFmt numFmtId="174" formatCode="_(&quot;$&quot;* #,##0.00_);_(&quot;$&quot;* \(#,##0.00\);_(&quot;$&quot;* &quot;-&quot;??_);_(@_)"/>
    <numFmt numFmtId="175" formatCode="_(* #,##0.00_);_(* \(#,##0.00\);_(* &quot;-&quot;??_);_(@_)"/>
    <numFmt numFmtId="176" formatCode="&quot;$&quot;#,##0_);[Red]\(&quot;$&quot;#,##0\)"/>
    <numFmt numFmtId="177" formatCode="0.0%"/>
    <numFmt numFmtId="178" formatCode="\ #,##0.00&quot;    &quot;;\-#,##0.00&quot;    &quot;;&quot; -&quot;#&quot;    &quot;;@\ "/>
    <numFmt numFmtId="179" formatCode="#,##0.000"/>
    <numFmt numFmtId="180" formatCode="#,##0.0"/>
    <numFmt numFmtId="181" formatCode="_-* #,##0.00_₴_-;\-* #,##0.00_₴_-;_-* &quot;-&quot;??_₴_-;_-@_-"/>
    <numFmt numFmtId="182" formatCode="#,##0_ ;\-#,##0\ "/>
    <numFmt numFmtId="183" formatCode="#,##0_р_."/>
    <numFmt numFmtId="184" formatCode="_-* #,##0.00\ _₴_-;\-* #,##0.00\ _₴_-;_-* &quot;-&quot;??\ _₴_-;_-@_-"/>
    <numFmt numFmtId="185" formatCode="_-* #,##0\ _₴_-;\-* #,##0\ _₴_-;_-* &quot;-&quot;??\ _₴_-;_-@_-"/>
    <numFmt numFmtId="186" formatCode="_-* #,##0.0_р_._-;\-* #,##0.0_р_._-;_-* &quot;-&quot;?_р_._-;_-@_-"/>
    <numFmt numFmtId="187" formatCode="_-* #,##0_р_._-;\-* #,##0_р_._-;_-* &quot;-&quot;?_р_._-;_-@_-"/>
    <numFmt numFmtId="188" formatCode="0.000"/>
    <numFmt numFmtId="189" formatCode="_-* #,##0.0\ _₴_-;\-* #,##0.0\ _₴_-;_-* &quot;-&quot;??\ _₴_-;_-@_-"/>
    <numFmt numFmtId="190" formatCode="_-* #,##0_р_._-;\-* #,##0_р_._-;_-* &quot;-&quot;??_р_._-;_-@_-"/>
    <numFmt numFmtId="191" formatCode="_-* #,##0_г_р_н_._-;\-* #,##0_г_р_н_._-;_-* &quot;-&quot;_г_р_н_._-;_-@_-"/>
    <numFmt numFmtId="192" formatCode="#,##0;[Red]\-#,##0;\-"/>
    <numFmt numFmtId="193" formatCode="#,##0.00;[Red]\-#,##0.00;\-"/>
    <numFmt numFmtId="194" formatCode="_(* #,##0_);_(* \(#,##0\);_(* &quot;-&quot;_);_(@_)"/>
    <numFmt numFmtId="195" formatCode="_(* #,##0.00_);_(* \(#,##0.00\);_(* &quot;-&quot;_);_(@_)"/>
    <numFmt numFmtId="196" formatCode="_([$€]* #,##0.00_);_([$€]* \(#,##0.00\);_([$€]* &quot;-&quot;??_);_(@_)"/>
  </numFmts>
  <fonts count="140">
    <font>
      <sz val="11"/>
      <color theme="1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rgb="FF7030A0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name val="Arial Cyr"/>
      <charset val="204"/>
    </font>
    <font>
      <sz val="10"/>
      <name val="Arial Cyr"/>
      <family val="2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2"/>
      <color theme="1"/>
      <name val="Calibri"/>
      <family val="2"/>
      <charset val="204"/>
      <scheme val="minor"/>
    </font>
    <font>
      <sz val="10"/>
      <name val="Arial Cyr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Helvetica"/>
      <family val="2"/>
    </font>
    <font>
      <b/>
      <i/>
      <sz val="24"/>
      <name val="Calibri"/>
      <family val="2"/>
      <charset val="204"/>
      <scheme val="minor"/>
    </font>
    <font>
      <b/>
      <i/>
      <sz val="2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6"/>
      <color rgb="FF9900CC"/>
      <name val="Calibri"/>
      <family val="2"/>
      <charset val="204"/>
      <scheme val="minor"/>
    </font>
    <font>
      <b/>
      <sz val="16"/>
      <color rgb="FF0000FF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i/>
      <u/>
      <sz val="14"/>
      <name val="Calibri"/>
      <family val="2"/>
      <charset val="204"/>
      <scheme val="minor"/>
    </font>
    <font>
      <i/>
      <u/>
      <sz val="14"/>
      <color rgb="FFFF0000"/>
      <name val="Calibri"/>
      <family val="2"/>
      <charset val="204"/>
      <scheme val="minor"/>
    </font>
    <font>
      <i/>
      <u/>
      <sz val="14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b/>
      <i/>
      <sz val="20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color rgb="FFFF0000"/>
      <name val="Arial"/>
      <family val="2"/>
      <charset val="204"/>
    </font>
    <font>
      <sz val="8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2"/>
      <color theme="9" tint="-0.49998474074526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u/>
      <sz val="12"/>
      <color rgb="FF7030A0"/>
      <name val="Calibri"/>
      <family val="2"/>
      <charset val="204"/>
      <scheme val="minor"/>
    </font>
    <font>
      <b/>
      <i/>
      <u/>
      <sz val="11"/>
      <color rgb="FF7030A0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16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u/>
      <sz val="12"/>
      <name val="Arial"/>
      <family val="2"/>
      <charset val="204"/>
    </font>
    <font>
      <i/>
      <sz val="10"/>
      <name val="Arial"/>
      <family val="2"/>
      <charset val="204"/>
    </font>
    <font>
      <b/>
      <sz val="12"/>
      <color theme="3"/>
      <name val="Arial"/>
      <family val="2"/>
      <charset val="204"/>
    </font>
    <font>
      <sz val="10"/>
      <color indexed="12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4"/>
      <color indexed="12"/>
      <name val="Arial"/>
      <family val="2"/>
      <charset val="204"/>
    </font>
    <font>
      <b/>
      <sz val="14"/>
      <color theme="3"/>
      <name val="Arial"/>
      <family val="2"/>
      <charset val="204"/>
    </font>
    <font>
      <sz val="14"/>
      <color indexed="48"/>
      <name val="Arial"/>
      <family val="2"/>
      <charset val="204"/>
    </font>
    <font>
      <b/>
      <i/>
      <sz val="12"/>
      <color theme="3"/>
      <name val="Arial"/>
      <family val="2"/>
      <charset val="204"/>
    </font>
    <font>
      <i/>
      <sz val="12"/>
      <color theme="3"/>
      <name val="Arial"/>
      <family val="2"/>
      <charset val="204"/>
    </font>
    <font>
      <sz val="10"/>
      <color indexed="48"/>
      <name val="Arial"/>
      <family val="2"/>
      <charset val="204"/>
    </font>
    <font>
      <b/>
      <i/>
      <sz val="12"/>
      <name val="Arial"/>
      <family val="2"/>
      <charset val="204"/>
    </font>
    <font>
      <sz val="12"/>
      <color indexed="48"/>
      <name val="Arial"/>
      <family val="2"/>
      <charset val="204"/>
    </font>
    <font>
      <sz val="12"/>
      <color indexed="12"/>
      <name val="Arial"/>
      <family val="2"/>
      <charset val="204"/>
    </font>
    <font>
      <b/>
      <i/>
      <sz val="12"/>
      <color rgb="FFFF0000"/>
      <name val="Arial"/>
      <family val="2"/>
      <charset val="204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0"/>
      <name val="Arial"/>
      <family val="2"/>
    </font>
    <font>
      <sz val="12"/>
      <color rgb="FF0000FF"/>
      <name val="Arial"/>
      <family val="2"/>
    </font>
    <font>
      <b/>
      <sz val="16"/>
      <color indexed="6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6"/>
      <color indexed="62"/>
      <name val="Arial CYR"/>
      <family val="2"/>
      <charset val="204"/>
    </font>
    <font>
      <sz val="16"/>
      <name val="Arial Cyr"/>
      <charset val="204"/>
    </font>
    <font>
      <sz val="12"/>
      <color rgb="FFFF0000"/>
      <name val="Arial"/>
      <family val="2"/>
      <charset val="204"/>
    </font>
    <font>
      <b/>
      <sz val="12"/>
      <color indexed="62"/>
      <name val="Arial"/>
      <family val="2"/>
    </font>
    <font>
      <sz val="12"/>
      <name val="TimesET"/>
    </font>
    <font>
      <sz val="10"/>
      <color indexed="10"/>
      <name val="Arial"/>
      <family val="2"/>
    </font>
    <font>
      <b/>
      <sz val="12"/>
      <color indexed="62"/>
      <name val="Arial CYR"/>
      <family val="2"/>
      <charset val="204"/>
    </font>
    <font>
      <b/>
      <i/>
      <sz val="10"/>
      <name val="Arial"/>
      <family val="2"/>
      <charset val="204"/>
    </font>
    <font>
      <b/>
      <sz val="8"/>
      <color theme="3"/>
      <name val="Arial"/>
      <family val="2"/>
      <charset val="204"/>
    </font>
    <font>
      <b/>
      <i/>
      <sz val="10"/>
      <color theme="3"/>
      <name val="Arial"/>
      <family val="2"/>
      <charset val="204"/>
    </font>
    <font>
      <sz val="8"/>
      <color theme="7" tint="0.39997558519241921"/>
      <name val="Arial"/>
      <family val="2"/>
      <charset val="204"/>
    </font>
    <font>
      <b/>
      <sz val="8"/>
      <color theme="7" tint="0.39997558519241921"/>
      <name val="Arial"/>
      <family val="2"/>
      <charset val="204"/>
    </font>
    <font>
      <sz val="8"/>
      <color theme="4" tint="-0.249977111117893"/>
      <name val="Arial"/>
      <family val="2"/>
      <charset val="204"/>
    </font>
    <font>
      <b/>
      <sz val="8"/>
      <color theme="4" tint="-0.249977111117893"/>
      <name val="Arial"/>
      <family val="2"/>
      <charset val="204"/>
    </font>
    <font>
      <sz val="12"/>
      <name val="Academy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1">
    <xf numFmtId="0" fontId="0" fillId="0" borderId="0"/>
    <xf numFmtId="171" fontId="8" fillId="0" borderId="0" applyFill="0" applyBorder="0" applyAlignment="0" applyProtection="0"/>
    <xf numFmtId="0" fontId="10" fillId="0" borderId="0"/>
    <xf numFmtId="3" fontId="10" fillId="0" borderId="0">
      <alignment horizontal="center"/>
    </xf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5" fillId="0" borderId="0" applyFont="0" applyFill="0" applyBorder="0" applyAlignment="0" applyProtection="0"/>
    <xf numFmtId="174" fontId="10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0" borderId="0"/>
    <xf numFmtId="0" fontId="3" fillId="0" borderId="0"/>
    <xf numFmtId="0" fontId="17" fillId="0" borderId="0"/>
    <xf numFmtId="0" fontId="15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8" fillId="0" borderId="0"/>
    <xf numFmtId="0" fontId="19" fillId="0" borderId="0"/>
    <xf numFmtId="0" fontId="20" fillId="0" borderId="0">
      <alignment horizontal="left"/>
    </xf>
    <xf numFmtId="0" fontId="3" fillId="0" borderId="0"/>
    <xf numFmtId="0" fontId="3" fillId="0" borderId="0"/>
    <xf numFmtId="0" fontId="3" fillId="0" borderId="0"/>
    <xf numFmtId="0" fontId="18" fillId="0" borderId="0"/>
    <xf numFmtId="0" fontId="19" fillId="0" borderId="0"/>
    <xf numFmtId="0" fontId="15" fillId="0" borderId="0"/>
    <xf numFmtId="0" fontId="14" fillId="0" borderId="0"/>
    <xf numFmtId="0" fontId="3" fillId="0" borderId="0"/>
    <xf numFmtId="0" fontId="10" fillId="0" borderId="0"/>
    <xf numFmtId="0" fontId="21" fillId="0" borderId="0"/>
    <xf numFmtId="0" fontId="22" fillId="0" borderId="0"/>
    <xf numFmtId="0" fontId="14" fillId="0" borderId="0"/>
    <xf numFmtId="0" fontId="23" fillId="0" borderId="0">
      <alignment horizontal="left"/>
    </xf>
    <xf numFmtId="0" fontId="20" fillId="0" borderId="0">
      <alignment horizontal="left"/>
    </xf>
    <xf numFmtId="0" fontId="24" fillId="0" borderId="0"/>
    <xf numFmtId="0" fontId="17" fillId="0" borderId="0"/>
    <xf numFmtId="0" fontId="24" fillId="0" borderId="0"/>
    <xf numFmtId="0" fontId="3" fillId="0" borderId="0"/>
    <xf numFmtId="0" fontId="22" fillId="0" borderId="0"/>
    <xf numFmtId="0" fontId="22" fillId="0" borderId="0"/>
    <xf numFmtId="0" fontId="17" fillId="0" borderId="0"/>
    <xf numFmtId="0" fontId="10" fillId="0" borderId="0"/>
    <xf numFmtId="0" fontId="15" fillId="0" borderId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/>
    <xf numFmtId="0" fontId="25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0" fillId="0" borderId="0" applyFont="0" applyFill="0" applyBorder="0" applyAlignment="0" applyProtection="0"/>
    <xf numFmtId="175" fontId="22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73" fontId="15" fillId="0" borderId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5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22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9" fillId="0" borderId="0"/>
    <xf numFmtId="0" fontId="15" fillId="0" borderId="0"/>
    <xf numFmtId="0" fontId="21" fillId="0" borderId="0"/>
    <xf numFmtId="0" fontId="3" fillId="0" borderId="0"/>
    <xf numFmtId="0" fontId="17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20" fillId="0" borderId="0">
      <alignment horizontal="left"/>
    </xf>
    <xf numFmtId="0" fontId="18" fillId="0" borderId="0"/>
    <xf numFmtId="0" fontId="3" fillId="0" borderId="0"/>
    <xf numFmtId="0" fontId="10" fillId="0" borderId="0"/>
    <xf numFmtId="0" fontId="18" fillId="0" borderId="0"/>
    <xf numFmtId="0" fontId="19" fillId="0" borderId="0"/>
    <xf numFmtId="0" fontId="21" fillId="0" borderId="0"/>
    <xf numFmtId="0" fontId="3" fillId="0" borderId="0"/>
    <xf numFmtId="0" fontId="21" fillId="0" borderId="0"/>
    <xf numFmtId="0" fontId="20" fillId="0" borderId="0">
      <alignment horizontal="left"/>
    </xf>
    <xf numFmtId="0" fontId="18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1" fillId="0" borderId="0"/>
    <xf numFmtId="0" fontId="10" fillId="0" borderId="0"/>
    <xf numFmtId="0" fontId="3" fillId="0" borderId="0"/>
    <xf numFmtId="0" fontId="20" fillId="0" borderId="0"/>
    <xf numFmtId="0" fontId="20" fillId="0" borderId="0"/>
    <xf numFmtId="0" fontId="1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>
      <alignment horizontal="left"/>
    </xf>
    <xf numFmtId="0" fontId="21" fillId="0" borderId="0"/>
    <xf numFmtId="0" fontId="2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1" fillId="0" borderId="0"/>
    <xf numFmtId="0" fontId="2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/>
    <xf numFmtId="0" fontId="25" fillId="0" borderId="0"/>
    <xf numFmtId="0" fontId="12" fillId="0" borderId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78" fontId="8" fillId="0" borderId="0" applyFill="0" applyBorder="0" applyAlignment="0" applyProtection="0"/>
    <xf numFmtId="0" fontId="17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8" fillId="0" borderId="0" applyFill="0" applyBorder="0" applyAlignment="0" applyProtection="0"/>
    <xf numFmtId="164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72" fontId="8" fillId="0" borderId="0" applyFill="0" applyBorder="0" applyAlignment="0" applyProtection="0"/>
    <xf numFmtId="9" fontId="3" fillId="0" borderId="0" applyFont="0" applyFill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7" borderId="0" applyNumberFormat="0" applyBorder="0" applyAlignment="0" applyProtection="0"/>
    <xf numFmtId="0" fontId="45" fillId="15" borderId="32" applyNumberFormat="0" applyAlignment="0" applyProtection="0"/>
    <xf numFmtId="0" fontId="46" fillId="28" borderId="33" applyNumberFormat="0" applyAlignment="0" applyProtection="0"/>
    <xf numFmtId="0" fontId="47" fillId="28" borderId="32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34" applyNumberFormat="0" applyFill="0" applyAlignment="0" applyProtection="0"/>
    <xf numFmtId="0" fontId="50" fillId="0" borderId="35" applyNumberFormat="0" applyFill="0" applyAlignment="0" applyProtection="0"/>
    <xf numFmtId="0" fontId="51" fillId="0" borderId="36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37" applyNumberFormat="0" applyFill="0" applyAlignment="0" applyProtection="0"/>
    <xf numFmtId="0" fontId="53" fillId="29" borderId="38" applyNumberFormat="0" applyAlignment="0" applyProtection="0"/>
    <xf numFmtId="0" fontId="54" fillId="0" borderId="0" applyNumberFormat="0" applyFill="0" applyBorder="0" applyAlignment="0" applyProtection="0"/>
    <xf numFmtId="0" fontId="55" fillId="30" borderId="0" applyNumberFormat="0" applyBorder="0" applyAlignment="0" applyProtection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11" borderId="0" applyNumberFormat="0" applyBorder="0" applyAlignment="0" applyProtection="0"/>
    <xf numFmtId="0" fontId="57" fillId="0" borderId="0" applyNumberFormat="0" applyFill="0" applyBorder="0" applyAlignment="0" applyProtection="0"/>
    <xf numFmtId="0" fontId="16" fillId="31" borderId="39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40" applyNumberFormat="0" applyFill="0" applyAlignment="0" applyProtection="0"/>
    <xf numFmtId="0" fontId="12" fillId="0" borderId="0"/>
    <xf numFmtId="0" fontId="59" fillId="0" borderId="0" applyNumberFormat="0" applyFill="0" applyBorder="0" applyAlignment="0" applyProtection="0"/>
    <xf numFmtId="181" fontId="3" fillId="0" borderId="0" applyFont="0" applyFill="0" applyBorder="0" applyAlignment="0" applyProtection="0"/>
    <xf numFmtId="0" fontId="60" fillId="1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8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0" fillId="0" borderId="0"/>
    <xf numFmtId="0" fontId="10" fillId="0" borderId="0"/>
    <xf numFmtId="167" fontId="18" fillId="0" borderId="0" applyFont="0" applyFill="0" applyBorder="0" applyAlignment="0" applyProtection="0"/>
    <xf numFmtId="0" fontId="52" fillId="0" borderId="68" applyNumberFormat="0" applyFill="0" applyAlignment="0" applyProtection="0"/>
    <xf numFmtId="0" fontId="46" fillId="28" borderId="67" applyNumberFormat="0" applyAlignment="0" applyProtection="0"/>
    <xf numFmtId="0" fontId="16" fillId="31" borderId="69" applyNumberFormat="0" applyFont="0" applyAlignment="0" applyProtection="0"/>
    <xf numFmtId="0" fontId="47" fillId="28" borderId="66" applyNumberFormat="0" applyAlignment="0" applyProtection="0"/>
    <xf numFmtId="0" fontId="45" fillId="15" borderId="66" applyNumberFormat="0" applyAlignment="0" applyProtection="0"/>
    <xf numFmtId="0" fontId="45" fillId="15" borderId="62" applyNumberFormat="0" applyAlignment="0" applyProtection="0"/>
    <xf numFmtId="0" fontId="46" fillId="28" borderId="63" applyNumberFormat="0" applyAlignment="0" applyProtection="0"/>
    <xf numFmtId="0" fontId="47" fillId="28" borderId="62" applyNumberFormat="0" applyAlignment="0" applyProtection="0"/>
    <xf numFmtId="0" fontId="52" fillId="0" borderId="64" applyNumberFormat="0" applyFill="0" applyAlignment="0" applyProtection="0"/>
    <xf numFmtId="0" fontId="16" fillId="31" borderId="65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8" fillId="0" borderId="0"/>
    <xf numFmtId="0" fontId="14" fillId="0" borderId="0"/>
    <xf numFmtId="0" fontId="92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92" fillId="0" borderId="0"/>
    <xf numFmtId="9" fontId="1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0" borderId="0"/>
    <xf numFmtId="0" fontId="12" fillId="0" borderId="0"/>
    <xf numFmtId="167" fontId="14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75" fontId="3" fillId="0" borderId="0" applyFont="0" applyFill="0" applyBorder="0" applyAlignment="0" applyProtection="0"/>
    <xf numFmtId="173" fontId="14" fillId="0" borderId="0" applyFill="0" applyBorder="0" applyAlignment="0" applyProtection="0"/>
    <xf numFmtId="178" fontId="1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9" fontId="14" fillId="0" borderId="0" applyFill="0" applyBorder="0" applyAlignment="0" applyProtection="0"/>
    <xf numFmtId="164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45" fillId="15" borderId="71" applyNumberFormat="0" applyAlignment="0" applyProtection="0"/>
    <xf numFmtId="0" fontId="45" fillId="15" borderId="71" applyNumberFormat="0" applyAlignment="0" applyProtection="0"/>
    <xf numFmtId="0" fontId="45" fillId="15" borderId="71" applyNumberFormat="0" applyAlignment="0" applyProtection="0"/>
    <xf numFmtId="0" fontId="46" fillId="28" borderId="72" applyNumberFormat="0" applyAlignment="0" applyProtection="0"/>
    <xf numFmtId="0" fontId="46" fillId="28" borderId="72" applyNumberFormat="0" applyAlignment="0" applyProtection="0"/>
    <xf numFmtId="0" fontId="46" fillId="28" borderId="72" applyNumberFormat="0" applyAlignment="0" applyProtection="0"/>
    <xf numFmtId="0" fontId="47" fillId="28" borderId="71" applyNumberFormat="0" applyAlignment="0" applyProtection="0"/>
    <xf numFmtId="0" fontId="47" fillId="28" borderId="71" applyNumberFormat="0" applyAlignment="0" applyProtection="0"/>
    <xf numFmtId="0" fontId="47" fillId="28" borderId="71" applyNumberFormat="0" applyAlignment="0" applyProtection="0"/>
    <xf numFmtId="0" fontId="52" fillId="0" borderId="73" applyNumberFormat="0" applyFill="0" applyAlignment="0" applyProtection="0"/>
    <xf numFmtId="0" fontId="52" fillId="0" borderId="73" applyNumberFormat="0" applyFill="0" applyAlignment="0" applyProtection="0"/>
    <xf numFmtId="0" fontId="52" fillId="0" borderId="73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3" fillId="0" borderId="0"/>
    <xf numFmtId="0" fontId="16" fillId="31" borderId="74" applyNumberFormat="0" applyFont="0" applyAlignment="0" applyProtection="0"/>
    <xf numFmtId="0" fontId="16" fillId="31" borderId="74" applyNumberFormat="0" applyFont="0" applyAlignment="0" applyProtection="0"/>
    <xf numFmtId="0" fontId="16" fillId="31" borderId="74" applyNumberFormat="0" applyFont="0" applyAlignment="0" applyProtection="0"/>
    <xf numFmtId="9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139" fillId="0" borderId="0">
      <alignment horizontal="left"/>
    </xf>
  </cellStyleXfs>
  <cellXfs count="952">
    <xf numFmtId="0" fontId="0" fillId="0" borderId="0" xfId="0"/>
    <xf numFmtId="0" fontId="1" fillId="2" borderId="0" xfId="0" applyNumberFormat="1" applyFont="1" applyFill="1" applyBorder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0" fontId="1" fillId="3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/>
    </xf>
    <xf numFmtId="0" fontId="6" fillId="2" borderId="0" xfId="0" applyFont="1" applyFill="1"/>
    <xf numFmtId="0" fontId="7" fillId="0" borderId="0" xfId="0" applyFont="1"/>
    <xf numFmtId="3" fontId="7" fillId="0" borderId="0" xfId="0" applyNumberFormat="1" applyFont="1"/>
    <xf numFmtId="3" fontId="5" fillId="0" borderId="0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8" fontId="0" fillId="0" borderId="0" xfId="0" applyNumberFormat="1" applyFill="1"/>
    <xf numFmtId="168" fontId="0" fillId="0" borderId="0" xfId="0" applyNumberFormat="1"/>
    <xf numFmtId="0" fontId="29" fillId="2" borderId="5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3" fontId="30" fillId="0" borderId="10" xfId="38" applyNumberFormat="1" applyFont="1" applyFill="1" applyBorder="1" applyAlignment="1">
      <alignment horizontal="left" vertical="center" wrapText="1" indent="2"/>
    </xf>
    <xf numFmtId="168" fontId="30" fillId="0" borderId="11" xfId="0" applyNumberFormat="1" applyFont="1" applyFill="1" applyBorder="1" applyAlignment="1">
      <alignment horizontal="right" vertical="center" wrapText="1"/>
    </xf>
    <xf numFmtId="168" fontId="30" fillId="0" borderId="12" xfId="0" applyNumberFormat="1" applyFont="1" applyFill="1" applyBorder="1" applyAlignment="1">
      <alignment horizontal="right" vertical="center" wrapText="1"/>
    </xf>
    <xf numFmtId="168" fontId="30" fillId="0" borderId="13" xfId="0" applyNumberFormat="1" applyFont="1" applyFill="1" applyBorder="1" applyAlignment="1">
      <alignment horizontal="right" vertical="center" wrapText="1"/>
    </xf>
    <xf numFmtId="168" fontId="30" fillId="0" borderId="14" xfId="0" applyNumberFormat="1" applyFont="1" applyFill="1" applyBorder="1" applyAlignment="1">
      <alignment horizontal="right" vertical="center" wrapText="1"/>
    </xf>
    <xf numFmtId="0" fontId="0" fillId="0" borderId="0" xfId="0" applyFill="1"/>
    <xf numFmtId="3" fontId="31" fillId="6" borderId="5" xfId="38" applyNumberFormat="1" applyFont="1" applyFill="1" applyBorder="1" applyAlignment="1">
      <alignment horizontal="left" vertical="center" indent="2"/>
    </xf>
    <xf numFmtId="168" fontId="32" fillId="6" borderId="15" xfId="0" applyNumberFormat="1" applyFont="1" applyFill="1" applyBorder="1" applyAlignment="1">
      <alignment horizontal="right" vertical="center" wrapText="1"/>
    </xf>
    <xf numFmtId="9" fontId="32" fillId="6" borderId="16" xfId="0" applyNumberFormat="1" applyFont="1" applyFill="1" applyBorder="1" applyAlignment="1">
      <alignment horizontal="right" vertical="center" wrapText="1"/>
    </xf>
    <xf numFmtId="3" fontId="32" fillId="6" borderId="8" xfId="38" applyNumberFormat="1" applyFont="1" applyFill="1" applyBorder="1" applyAlignment="1">
      <alignment horizontal="left" vertical="center" indent="2"/>
    </xf>
    <xf numFmtId="3" fontId="30" fillId="6" borderId="8" xfId="38" applyNumberFormat="1" applyFont="1" applyFill="1" applyBorder="1" applyAlignment="1">
      <alignment horizontal="left" vertical="center" wrapText="1" indent="2"/>
    </xf>
    <xf numFmtId="168" fontId="30" fillId="6" borderId="5" xfId="0" applyNumberFormat="1" applyFont="1" applyFill="1" applyBorder="1" applyAlignment="1">
      <alignment horizontal="right" vertical="center" wrapText="1"/>
    </xf>
    <xf numFmtId="177" fontId="30" fillId="6" borderId="9" xfId="0" applyNumberFormat="1" applyFont="1" applyFill="1" applyBorder="1" applyAlignment="1">
      <alignment horizontal="right" vertical="center" wrapText="1"/>
    </xf>
    <xf numFmtId="3" fontId="30" fillId="6" borderId="5" xfId="38" applyNumberFormat="1" applyFont="1" applyFill="1" applyBorder="1" applyAlignment="1">
      <alignment horizontal="left" vertical="center" wrapText="1" indent="2"/>
    </xf>
    <xf numFmtId="3" fontId="32" fillId="6" borderId="8" xfId="38" applyNumberFormat="1" applyFont="1" applyFill="1" applyBorder="1" applyAlignment="1">
      <alignment horizontal="left" vertical="center" wrapText="1" indent="2"/>
    </xf>
    <xf numFmtId="168" fontId="32" fillId="6" borderId="5" xfId="0" applyNumberFormat="1" applyFont="1" applyFill="1" applyBorder="1" applyAlignment="1">
      <alignment horizontal="right" vertical="center" wrapText="1"/>
    </xf>
    <xf numFmtId="177" fontId="32" fillId="6" borderId="9" xfId="0" applyNumberFormat="1" applyFont="1" applyFill="1" applyBorder="1" applyAlignment="1">
      <alignment horizontal="right" vertical="center" wrapText="1"/>
    </xf>
    <xf numFmtId="3" fontId="33" fillId="6" borderId="2" xfId="38" applyNumberFormat="1" applyFont="1" applyFill="1" applyBorder="1" applyAlignment="1">
      <alignment horizontal="left" vertical="center" wrapText="1" indent="2"/>
    </xf>
    <xf numFmtId="168" fontId="33" fillId="6" borderId="17" xfId="0" applyNumberFormat="1" applyFont="1" applyFill="1" applyBorder="1" applyAlignment="1">
      <alignment horizontal="right" vertical="center" wrapText="1"/>
    </xf>
    <xf numFmtId="177" fontId="33" fillId="6" borderId="18" xfId="0" applyNumberFormat="1" applyFont="1" applyFill="1" applyBorder="1" applyAlignment="1">
      <alignment horizontal="right" vertical="center" wrapText="1"/>
    </xf>
    <xf numFmtId="3" fontId="34" fillId="6" borderId="8" xfId="38" applyNumberFormat="1" applyFont="1" applyFill="1" applyBorder="1" applyAlignment="1">
      <alignment horizontal="left" vertical="center" wrapText="1" indent="2"/>
    </xf>
    <xf numFmtId="168" fontId="34" fillId="6" borderId="5" xfId="0" applyNumberFormat="1" applyFont="1" applyFill="1" applyBorder="1" applyAlignment="1">
      <alignment horizontal="right" vertical="center" wrapText="1"/>
    </xf>
    <xf numFmtId="177" fontId="34" fillId="6" borderId="9" xfId="0" applyNumberFormat="1" applyFont="1" applyFill="1" applyBorder="1" applyAlignment="1">
      <alignment horizontal="right" vertical="center" wrapText="1"/>
    </xf>
    <xf numFmtId="0" fontId="35" fillId="7" borderId="2" xfId="0" applyFont="1" applyFill="1" applyBorder="1" applyAlignment="1">
      <alignment horizontal="left" vertical="center" indent="2"/>
    </xf>
    <xf numFmtId="168" fontId="35" fillId="8" borderId="13" xfId="0" applyNumberFormat="1" applyFont="1" applyFill="1" applyBorder="1" applyAlignment="1">
      <alignment horizontal="right" vertical="center"/>
    </xf>
    <xf numFmtId="177" fontId="35" fillId="8" borderId="14" xfId="0" applyNumberFormat="1" applyFont="1" applyFill="1" applyBorder="1" applyAlignment="1">
      <alignment horizontal="right" vertical="center"/>
    </xf>
    <xf numFmtId="177" fontId="36" fillId="8" borderId="14" xfId="0" applyNumberFormat="1" applyFont="1" applyFill="1" applyBorder="1" applyAlignment="1">
      <alignment horizontal="right" vertical="center"/>
    </xf>
    <xf numFmtId="177" fontId="0" fillId="0" borderId="0" xfId="0" applyNumberFormat="1"/>
    <xf numFmtId="3" fontId="28" fillId="7" borderId="18" xfId="38" applyNumberFormat="1" applyFont="1" applyFill="1" applyBorder="1" applyAlignment="1">
      <alignment horizontal="left" vertical="center" wrapText="1" indent="2"/>
    </xf>
    <xf numFmtId="168" fontId="28" fillId="7" borderId="17" xfId="0" applyNumberFormat="1" applyFont="1" applyFill="1" applyBorder="1" applyAlignment="1">
      <alignment horizontal="right" vertical="center" wrapText="1"/>
    </xf>
    <xf numFmtId="177" fontId="28" fillId="7" borderId="18" xfId="0" applyNumberFormat="1" applyFont="1" applyFill="1" applyBorder="1" applyAlignment="1">
      <alignment horizontal="right" vertical="center" wrapText="1"/>
    </xf>
    <xf numFmtId="0" fontId="0" fillId="0" borderId="0" xfId="0" applyBorder="1"/>
    <xf numFmtId="3" fontId="34" fillId="9" borderId="8" xfId="38" applyNumberFormat="1" applyFont="1" applyFill="1" applyBorder="1" applyAlignment="1">
      <alignment horizontal="left" vertical="center" wrapText="1" indent="2"/>
    </xf>
    <xf numFmtId="3" fontId="27" fillId="6" borderId="8" xfId="38" applyNumberFormat="1" applyFont="1" applyFill="1" applyBorder="1" applyAlignment="1">
      <alignment horizontal="left" vertical="center" wrapText="1" indent="2"/>
    </xf>
    <xf numFmtId="168" fontId="27" fillId="6" borderId="5" xfId="0" applyNumberFormat="1" applyFont="1" applyFill="1" applyBorder="1" applyAlignment="1">
      <alignment horizontal="right" vertical="center" wrapText="1"/>
    </xf>
    <xf numFmtId="177" fontId="27" fillId="6" borderId="9" xfId="0" applyNumberFormat="1" applyFont="1" applyFill="1" applyBorder="1" applyAlignment="1">
      <alignment horizontal="right" vertical="center" wrapText="1"/>
    </xf>
    <xf numFmtId="0" fontId="0" fillId="0" borderId="0" xfId="0" applyFont="1"/>
    <xf numFmtId="3" fontId="37" fillId="6" borderId="5" xfId="38" applyNumberFormat="1" applyFont="1" applyFill="1" applyBorder="1" applyAlignment="1">
      <alignment horizontal="left" vertical="center" indent="2"/>
    </xf>
    <xf numFmtId="168" fontId="37" fillId="6" borderId="15" xfId="0" applyNumberFormat="1" applyFont="1" applyFill="1" applyBorder="1" applyAlignment="1">
      <alignment horizontal="right" vertical="center" wrapText="1"/>
    </xf>
    <xf numFmtId="177" fontId="38" fillId="6" borderId="16" xfId="0" applyNumberFormat="1" applyFont="1" applyFill="1" applyBorder="1" applyAlignment="1">
      <alignment horizontal="right" vertical="center" wrapText="1"/>
    </xf>
    <xf numFmtId="0" fontId="39" fillId="0" borderId="0" xfId="0" applyFont="1"/>
    <xf numFmtId="10" fontId="34" fillId="6" borderId="9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42" fillId="0" borderId="0" xfId="0" applyFont="1"/>
    <xf numFmtId="3" fontId="32" fillId="6" borderId="5" xfId="38" applyNumberFormat="1" applyFont="1" applyFill="1" applyBorder="1" applyAlignment="1">
      <alignment horizontal="left" vertical="center" wrapText="1" indent="2"/>
    </xf>
    <xf numFmtId="3" fontId="33" fillId="6" borderId="17" xfId="38" applyNumberFormat="1" applyFont="1" applyFill="1" applyBorder="1" applyAlignment="1">
      <alignment horizontal="left" vertical="center" wrapText="1" indent="2"/>
    </xf>
    <xf numFmtId="3" fontId="27" fillId="6" borderId="5" xfId="38" applyNumberFormat="1" applyFont="1" applyFill="1" applyBorder="1" applyAlignment="1">
      <alignment horizontal="left" vertical="center" wrapText="1" indent="2"/>
    </xf>
    <xf numFmtId="0" fontId="26" fillId="0" borderId="0" xfId="0" applyFont="1" applyAlignment="1">
      <alignment vertical="center"/>
    </xf>
    <xf numFmtId="0" fontId="61" fillId="0" borderId="0" xfId="0" applyFont="1"/>
    <xf numFmtId="0" fontId="27" fillId="0" borderId="0" xfId="0" applyFont="1" applyAlignment="1">
      <alignment vertical="center"/>
    </xf>
    <xf numFmtId="0" fontId="28" fillId="2" borderId="21" xfId="0" applyFont="1" applyFill="1" applyBorder="1" applyAlignment="1">
      <alignment horizontal="center" vertical="center" wrapText="1"/>
    </xf>
    <xf numFmtId="168" fontId="62" fillId="0" borderId="13" xfId="0" applyNumberFormat="1" applyFont="1" applyFill="1" applyBorder="1" applyAlignment="1">
      <alignment horizontal="right" vertical="center"/>
    </xf>
    <xf numFmtId="177" fontId="62" fillId="0" borderId="14" xfId="0" applyNumberFormat="1" applyFont="1" applyFill="1" applyBorder="1" applyAlignment="1">
      <alignment horizontal="center" vertical="center"/>
    </xf>
    <xf numFmtId="177" fontId="62" fillId="0" borderId="13" xfId="0" applyNumberFormat="1" applyFont="1" applyFill="1" applyBorder="1" applyAlignment="1">
      <alignment horizontal="right" vertical="center"/>
    </xf>
    <xf numFmtId="177" fontId="62" fillId="0" borderId="12" xfId="0" applyNumberFormat="1" applyFont="1" applyFill="1" applyBorder="1" applyAlignment="1">
      <alignment horizontal="right" vertical="center"/>
    </xf>
    <xf numFmtId="177" fontId="62" fillId="0" borderId="1" xfId="0" applyNumberFormat="1" applyFont="1" applyFill="1" applyBorder="1" applyAlignment="1">
      <alignment horizontal="right" vertical="center"/>
    </xf>
    <xf numFmtId="3" fontId="63" fillId="6" borderId="17" xfId="38" applyNumberFormat="1" applyFont="1" applyFill="1" applyBorder="1" applyAlignment="1">
      <alignment horizontal="left" vertical="center" wrapText="1" indent="2"/>
    </xf>
    <xf numFmtId="168" fontId="63" fillId="6" borderId="28" xfId="0" applyNumberFormat="1" applyFont="1" applyFill="1" applyBorder="1" applyAlignment="1">
      <alignment horizontal="right" vertical="center" wrapText="1"/>
    </xf>
    <xf numFmtId="168" fontId="32" fillId="6" borderId="17" xfId="0" applyNumberFormat="1" applyFont="1" applyFill="1" applyBorder="1" applyAlignment="1">
      <alignment horizontal="right" vertical="center" wrapText="1"/>
    </xf>
    <xf numFmtId="177" fontId="32" fillId="6" borderId="18" xfId="0" applyNumberFormat="1" applyFont="1" applyFill="1" applyBorder="1" applyAlignment="1">
      <alignment horizontal="center" vertical="center" wrapText="1"/>
    </xf>
    <xf numFmtId="177" fontId="28" fillId="6" borderId="27" xfId="0" applyNumberFormat="1" applyFont="1" applyFill="1" applyBorder="1" applyAlignment="1">
      <alignment horizontal="right" vertical="center" wrapText="1"/>
    </xf>
    <xf numFmtId="177" fontId="28" fillId="6" borderId="18" xfId="0" applyNumberFormat="1" applyFont="1" applyFill="1" applyBorder="1" applyAlignment="1">
      <alignment horizontal="right" vertical="center" wrapText="1"/>
    </xf>
    <xf numFmtId="177" fontId="28" fillId="6" borderId="17" xfId="0" applyNumberFormat="1" applyFont="1" applyFill="1" applyBorder="1" applyAlignment="1">
      <alignment horizontal="right" vertical="center" wrapText="1"/>
    </xf>
    <xf numFmtId="3" fontId="32" fillId="6" borderId="17" xfId="38" applyNumberFormat="1" applyFont="1" applyFill="1" applyBorder="1" applyAlignment="1">
      <alignment horizontal="left" vertical="center" wrapText="1" indent="2"/>
    </xf>
    <xf numFmtId="168" fontId="32" fillId="6" borderId="28" xfId="0" applyNumberFormat="1" applyFont="1" applyFill="1" applyBorder="1" applyAlignment="1">
      <alignment horizontal="right" vertical="center" wrapText="1"/>
    </xf>
    <xf numFmtId="177" fontId="32" fillId="6" borderId="27" xfId="0" applyNumberFormat="1" applyFont="1" applyFill="1" applyBorder="1" applyAlignment="1">
      <alignment horizontal="right" vertical="center" wrapText="1"/>
    </xf>
    <xf numFmtId="177" fontId="32" fillId="6" borderId="18" xfId="0" applyNumberFormat="1" applyFont="1" applyFill="1" applyBorder="1" applyAlignment="1">
      <alignment horizontal="right" vertical="center" wrapText="1"/>
    </xf>
    <xf numFmtId="177" fontId="32" fillId="6" borderId="2" xfId="0" applyNumberFormat="1" applyFont="1" applyFill="1" applyBorder="1" applyAlignment="1">
      <alignment horizontal="right" vertical="center" wrapText="1"/>
    </xf>
    <xf numFmtId="3" fontId="64" fillId="6" borderId="13" xfId="38" applyNumberFormat="1" applyFont="1" applyFill="1" applyBorder="1" applyAlignment="1">
      <alignment horizontal="left" vertical="center" wrapText="1" indent="2"/>
    </xf>
    <xf numFmtId="168" fontId="64" fillId="6" borderId="13" xfId="0" applyNumberFormat="1" applyFont="1" applyFill="1" applyBorder="1" applyAlignment="1">
      <alignment horizontal="right" vertical="center" wrapText="1"/>
    </xf>
    <xf numFmtId="168" fontId="33" fillId="6" borderId="28" xfId="0" applyNumberFormat="1" applyFont="1" applyFill="1" applyBorder="1" applyAlignment="1">
      <alignment horizontal="right" vertical="center" wrapText="1"/>
    </xf>
    <xf numFmtId="177" fontId="33" fillId="6" borderId="18" xfId="0" applyNumberFormat="1" applyFont="1" applyFill="1" applyBorder="1" applyAlignment="1">
      <alignment horizontal="center" vertical="center" wrapText="1"/>
    </xf>
    <xf numFmtId="177" fontId="33" fillId="6" borderId="27" xfId="0" applyNumberFormat="1" applyFont="1" applyFill="1" applyBorder="1" applyAlignment="1">
      <alignment horizontal="right" vertical="center" wrapText="1"/>
    </xf>
    <xf numFmtId="177" fontId="33" fillId="6" borderId="3" xfId="0" applyNumberFormat="1" applyFont="1" applyFill="1" applyBorder="1" applyAlignment="1">
      <alignment horizontal="right" vertical="center" wrapText="1"/>
    </xf>
    <xf numFmtId="168" fontId="32" fillId="6" borderId="26" xfId="0" applyNumberFormat="1" applyFont="1" applyFill="1" applyBorder="1" applyAlignment="1">
      <alignment horizontal="right" vertical="center" wrapText="1"/>
    </xf>
    <xf numFmtId="177" fontId="32" fillId="6" borderId="9" xfId="0" applyNumberFormat="1" applyFont="1" applyFill="1" applyBorder="1" applyAlignment="1">
      <alignment horizontal="center" vertical="center" wrapText="1"/>
    </xf>
    <xf numFmtId="177" fontId="32" fillId="6" borderId="22" xfId="0" applyNumberFormat="1" applyFont="1" applyFill="1" applyBorder="1" applyAlignment="1">
      <alignment horizontal="right" vertical="center" wrapText="1"/>
    </xf>
    <xf numFmtId="0" fontId="36" fillId="7" borderId="2" xfId="0" applyFont="1" applyFill="1" applyBorder="1" applyAlignment="1">
      <alignment horizontal="left" vertical="center" indent="2"/>
    </xf>
    <xf numFmtId="168" fontId="36" fillId="8" borderId="17" xfId="0" applyNumberFormat="1" applyFont="1" applyFill="1" applyBorder="1" applyAlignment="1">
      <alignment horizontal="right" vertical="center"/>
    </xf>
    <xf numFmtId="177" fontId="36" fillId="8" borderId="18" xfId="0" applyNumberFormat="1" applyFont="1" applyFill="1" applyBorder="1" applyAlignment="1">
      <alignment horizontal="center" vertical="center"/>
    </xf>
    <xf numFmtId="177" fontId="36" fillId="8" borderId="27" xfId="0" applyNumberFormat="1" applyFont="1" applyFill="1" applyBorder="1" applyAlignment="1">
      <alignment horizontal="right" vertical="center"/>
    </xf>
    <xf numFmtId="177" fontId="36" fillId="8" borderId="18" xfId="0" applyNumberFormat="1" applyFont="1" applyFill="1" applyBorder="1" applyAlignment="1">
      <alignment horizontal="right" vertical="center"/>
    </xf>
    <xf numFmtId="0" fontId="62" fillId="7" borderId="2" xfId="0" applyFont="1" applyFill="1" applyBorder="1" applyAlignment="1">
      <alignment horizontal="left" vertical="center" indent="2"/>
    </xf>
    <xf numFmtId="168" fontId="62" fillId="8" borderId="17" xfId="0" applyNumberFormat="1" applyFont="1" applyFill="1" applyBorder="1" applyAlignment="1">
      <alignment horizontal="right" vertical="center"/>
    </xf>
    <xf numFmtId="177" fontId="62" fillId="8" borderId="18" xfId="0" applyNumberFormat="1" applyFont="1" applyFill="1" applyBorder="1" applyAlignment="1">
      <alignment horizontal="center" vertical="center"/>
    </xf>
    <xf numFmtId="177" fontId="62" fillId="8" borderId="27" xfId="0" applyNumberFormat="1" applyFont="1" applyFill="1" applyBorder="1" applyAlignment="1">
      <alignment horizontal="right" vertical="center"/>
    </xf>
    <xf numFmtId="177" fontId="62" fillId="8" borderId="18" xfId="0" applyNumberFormat="1" applyFont="1" applyFill="1" applyBorder="1" applyAlignment="1">
      <alignment horizontal="right" vertical="center"/>
    </xf>
    <xf numFmtId="168" fontId="35" fillId="8" borderId="17" xfId="0" applyNumberFormat="1" applyFont="1" applyFill="1" applyBorder="1" applyAlignment="1">
      <alignment horizontal="right" vertical="center"/>
    </xf>
    <xf numFmtId="177" fontId="35" fillId="8" borderId="18" xfId="0" applyNumberFormat="1" applyFont="1" applyFill="1" applyBorder="1" applyAlignment="1">
      <alignment horizontal="center" vertical="center"/>
    </xf>
    <xf numFmtId="177" fontId="35" fillId="8" borderId="27" xfId="0" applyNumberFormat="1" applyFont="1" applyFill="1" applyBorder="1" applyAlignment="1">
      <alignment horizontal="right" vertical="center"/>
    </xf>
    <xf numFmtId="177" fontId="35" fillId="8" borderId="18" xfId="0" applyNumberFormat="1" applyFont="1" applyFill="1" applyBorder="1" applyAlignment="1">
      <alignment horizontal="right" vertical="center"/>
    </xf>
    <xf numFmtId="0" fontId="62" fillId="7" borderId="17" xfId="0" applyFont="1" applyFill="1" applyBorder="1" applyAlignment="1">
      <alignment horizontal="left" vertical="center" indent="2"/>
    </xf>
    <xf numFmtId="0" fontId="63" fillId="0" borderId="0" xfId="0" applyFont="1"/>
    <xf numFmtId="0" fontId="35" fillId="7" borderId="17" xfId="0" applyFont="1" applyFill="1" applyBorder="1" applyAlignment="1">
      <alignment horizontal="left" vertical="center" indent="2"/>
    </xf>
    <xf numFmtId="3" fontId="65" fillId="5" borderId="5" xfId="38" applyNumberFormat="1" applyFont="1" applyFill="1" applyBorder="1" applyAlignment="1">
      <alignment horizontal="left" vertical="center" wrapText="1" indent="2"/>
    </xf>
    <xf numFmtId="168" fontId="32" fillId="5" borderId="26" xfId="0" applyNumberFormat="1" applyFont="1" applyFill="1" applyBorder="1" applyAlignment="1">
      <alignment horizontal="right" vertical="center" wrapText="1"/>
    </xf>
    <xf numFmtId="182" fontId="32" fillId="5" borderId="5" xfId="0" applyNumberFormat="1" applyFont="1" applyFill="1" applyBorder="1" applyAlignment="1">
      <alignment horizontal="right" vertical="center" wrapText="1"/>
    </xf>
    <xf numFmtId="177" fontId="32" fillId="5" borderId="9" xfId="0" applyNumberFormat="1" applyFont="1" applyFill="1" applyBorder="1" applyAlignment="1">
      <alignment horizontal="center" vertical="center" wrapText="1"/>
    </xf>
    <xf numFmtId="177" fontId="32" fillId="5" borderId="22" xfId="0" applyNumberFormat="1" applyFont="1" applyFill="1" applyBorder="1" applyAlignment="1">
      <alignment horizontal="right" vertical="center" wrapText="1"/>
    </xf>
    <xf numFmtId="177" fontId="32" fillId="5" borderId="9" xfId="0" applyNumberFormat="1" applyFont="1" applyFill="1" applyBorder="1" applyAlignment="1">
      <alignment horizontal="right" vertical="center" wrapText="1"/>
    </xf>
    <xf numFmtId="182" fontId="32" fillId="6" borderId="26" xfId="0" applyNumberFormat="1" applyFont="1" applyFill="1" applyBorder="1" applyAlignment="1">
      <alignment horizontal="right" vertical="center" wrapText="1"/>
    </xf>
    <xf numFmtId="182" fontId="32" fillId="6" borderId="5" xfId="0" applyNumberFormat="1" applyFont="1" applyFill="1" applyBorder="1" applyAlignment="1">
      <alignment horizontal="right" vertical="center" wrapText="1"/>
    </xf>
    <xf numFmtId="168" fontId="32" fillId="5" borderId="5" xfId="0" applyNumberFormat="1" applyFont="1" applyFill="1" applyBorder="1" applyAlignment="1">
      <alignment horizontal="right" vertical="center" wrapText="1"/>
    </xf>
    <xf numFmtId="3" fontId="32" fillId="6" borderId="15" xfId="38" applyNumberFormat="1" applyFont="1" applyFill="1" applyBorder="1" applyAlignment="1">
      <alignment horizontal="left" vertical="center" wrapText="1" indent="2"/>
    </xf>
    <xf numFmtId="182" fontId="32" fillId="6" borderId="25" xfId="0" applyNumberFormat="1" applyFont="1" applyFill="1" applyBorder="1" applyAlignment="1">
      <alignment horizontal="right" vertical="center" wrapText="1"/>
    </xf>
    <xf numFmtId="182" fontId="32" fillId="6" borderId="15" xfId="0" applyNumberFormat="1" applyFont="1" applyFill="1" applyBorder="1" applyAlignment="1">
      <alignment horizontal="right" vertical="center" wrapText="1"/>
    </xf>
    <xf numFmtId="177" fontId="32" fillId="6" borderId="16" xfId="0" applyNumberFormat="1" applyFont="1" applyFill="1" applyBorder="1" applyAlignment="1">
      <alignment horizontal="center" vertical="center" wrapText="1"/>
    </xf>
    <xf numFmtId="177" fontId="32" fillId="6" borderId="16" xfId="0" applyNumberFormat="1" applyFont="1" applyFill="1" applyBorder="1" applyAlignment="1">
      <alignment horizontal="right" vertical="center" wrapText="1"/>
    </xf>
    <xf numFmtId="182" fontId="32" fillId="6" borderId="8" xfId="0" applyNumberFormat="1" applyFont="1" applyFill="1" applyBorder="1" applyAlignment="1">
      <alignment horizontal="right" vertical="center" wrapText="1"/>
    </xf>
    <xf numFmtId="168" fontId="27" fillId="6" borderId="8" xfId="0" applyNumberFormat="1" applyFont="1" applyFill="1" applyBorder="1" applyAlignment="1">
      <alignment horizontal="right" vertical="center" wrapText="1"/>
    </xf>
    <xf numFmtId="177" fontId="27" fillId="6" borderId="9" xfId="0" applyNumberFormat="1" applyFont="1" applyFill="1" applyBorder="1" applyAlignment="1">
      <alignment horizontal="center" vertical="center" wrapText="1"/>
    </xf>
    <xf numFmtId="177" fontId="27" fillId="6" borderId="22" xfId="0" applyNumberFormat="1" applyFont="1" applyFill="1" applyBorder="1" applyAlignment="1">
      <alignment horizontal="right" vertical="center" wrapText="1"/>
    </xf>
    <xf numFmtId="3" fontId="66" fillId="6" borderId="5" xfId="38" applyNumberFormat="1" applyFont="1" applyFill="1" applyBorder="1" applyAlignment="1">
      <alignment horizontal="left" vertical="center" wrapText="1" indent="2"/>
    </xf>
    <xf numFmtId="168" fontId="66" fillId="6" borderId="5" xfId="0" applyNumberFormat="1" applyFont="1" applyFill="1" applyBorder="1" applyAlignment="1">
      <alignment horizontal="right" vertical="center" wrapText="1"/>
    </xf>
    <xf numFmtId="168" fontId="66" fillId="6" borderId="8" xfId="0" applyNumberFormat="1" applyFont="1" applyFill="1" applyBorder="1" applyAlignment="1">
      <alignment horizontal="right" vertical="center" wrapText="1"/>
    </xf>
    <xf numFmtId="177" fontId="66" fillId="6" borderId="9" xfId="0" applyNumberFormat="1" applyFont="1" applyFill="1" applyBorder="1" applyAlignment="1">
      <alignment horizontal="center" vertical="center" wrapText="1"/>
    </xf>
    <xf numFmtId="177" fontId="66" fillId="6" borderId="22" xfId="0" applyNumberFormat="1" applyFont="1" applyFill="1" applyBorder="1" applyAlignment="1">
      <alignment horizontal="right" vertical="center" wrapText="1"/>
    </xf>
    <xf numFmtId="177" fontId="66" fillId="6" borderId="9" xfId="0" applyNumberFormat="1" applyFont="1" applyFill="1" applyBorder="1" applyAlignment="1">
      <alignment horizontal="right" vertical="center" wrapText="1"/>
    </xf>
    <xf numFmtId="168" fontId="61" fillId="0" borderId="0" xfId="0" applyNumberFormat="1" applyFont="1"/>
    <xf numFmtId="9" fontId="67" fillId="0" borderId="0" xfId="348" applyFont="1"/>
    <xf numFmtId="9" fontId="68" fillId="0" borderId="0" xfId="348" applyFont="1"/>
    <xf numFmtId="3" fontId="68" fillId="0" borderId="0" xfId="0" applyNumberFormat="1" applyFont="1"/>
    <xf numFmtId="9" fontId="4" fillId="0" borderId="0" xfId="348" applyFont="1"/>
    <xf numFmtId="0" fontId="68" fillId="0" borderId="0" xfId="0" applyFont="1"/>
    <xf numFmtId="168" fontId="4" fillId="0" borderId="0" xfId="0" applyNumberFormat="1" applyFont="1"/>
    <xf numFmtId="0" fontId="69" fillId="0" borderId="0" xfId="0" applyFont="1"/>
    <xf numFmtId="0" fontId="70" fillId="0" borderId="0" xfId="0" applyFont="1"/>
    <xf numFmtId="0" fontId="36" fillId="0" borderId="0" xfId="0" applyFont="1" applyAlignment="1">
      <alignment horizontal="right"/>
    </xf>
    <xf numFmtId="3" fontId="36" fillId="0" borderId="0" xfId="0" applyNumberFormat="1" applyFont="1"/>
    <xf numFmtId="3" fontId="71" fillId="0" borderId="0" xfId="0" applyNumberFormat="1" applyFont="1"/>
    <xf numFmtId="168" fontId="32" fillId="6" borderId="57" xfId="0" applyNumberFormat="1" applyFont="1" applyFill="1" applyBorder="1" applyAlignment="1">
      <alignment horizontal="right" vertical="center" wrapText="1"/>
    </xf>
    <xf numFmtId="168" fontId="35" fillId="8" borderId="57" xfId="0" applyNumberFormat="1" applyFont="1" applyFill="1" applyBorder="1" applyAlignment="1">
      <alignment horizontal="right" vertical="center"/>
    </xf>
    <xf numFmtId="0" fontId="29" fillId="4" borderId="5" xfId="0" applyFont="1" applyFill="1" applyBorder="1" applyAlignment="1">
      <alignment horizontal="center" vertical="center" wrapText="1"/>
    </xf>
    <xf numFmtId="3" fontId="7" fillId="4" borderId="0" xfId="0" applyNumberFormat="1" applyFont="1" applyFill="1"/>
    <xf numFmtId="168" fontId="36" fillId="8" borderId="58" xfId="0" applyNumberFormat="1" applyFont="1" applyFill="1" applyBorder="1" applyAlignment="1">
      <alignment horizontal="right" vertical="center"/>
    </xf>
    <xf numFmtId="168" fontId="62" fillId="8" borderId="58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8" fontId="63" fillId="6" borderId="59" xfId="0" applyNumberFormat="1" applyFont="1" applyFill="1" applyBorder="1" applyAlignment="1">
      <alignment horizontal="right" vertical="center" wrapText="1"/>
    </xf>
    <xf numFmtId="168" fontId="32" fillId="6" borderId="59" xfId="0" applyNumberFormat="1" applyFont="1" applyFill="1" applyBorder="1" applyAlignment="1">
      <alignment horizontal="right" vertical="center" wrapText="1"/>
    </xf>
    <xf numFmtId="168" fontId="35" fillId="8" borderId="59" xfId="0" applyNumberFormat="1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center" vertical="center" wrapText="1"/>
    </xf>
    <xf numFmtId="168" fontId="36" fillId="8" borderId="59" xfId="0" applyNumberFormat="1" applyFont="1" applyFill="1" applyBorder="1" applyAlignment="1">
      <alignment horizontal="right" vertical="center"/>
    </xf>
    <xf numFmtId="9" fontId="0" fillId="0" borderId="0" xfId="348" applyFont="1" applyAlignment="1">
      <alignment horizontal="center"/>
    </xf>
    <xf numFmtId="3" fontId="6" fillId="2" borderId="0" xfId="0" applyNumberFormat="1" applyFont="1" applyFill="1"/>
    <xf numFmtId="0" fontId="18" fillId="0" borderId="0" xfId="121"/>
    <xf numFmtId="9" fontId="18" fillId="0" borderId="0" xfId="121" applyNumberFormat="1"/>
    <xf numFmtId="185" fontId="0" fillId="0" borderId="0" xfId="492" applyNumberFormat="1" applyFont="1"/>
    <xf numFmtId="177" fontId="18" fillId="0" borderId="0" xfId="348" applyNumberFormat="1" applyFont="1"/>
    <xf numFmtId="0" fontId="18" fillId="0" borderId="0" xfId="121" applyFill="1"/>
    <xf numFmtId="185" fontId="0" fillId="0" borderId="0" xfId="492" applyNumberFormat="1" applyFont="1" applyFill="1"/>
    <xf numFmtId="177" fontId="18" fillId="0" borderId="0" xfId="348" applyNumberFormat="1" applyFont="1" applyFill="1"/>
    <xf numFmtId="185" fontId="18" fillId="0" borderId="0" xfId="121" applyNumberFormat="1" applyFill="1"/>
    <xf numFmtId="0" fontId="18" fillId="0" borderId="53" xfId="121" applyBorder="1"/>
    <xf numFmtId="177" fontId="18" fillId="0" borderId="53" xfId="348" applyNumberFormat="1" applyFont="1" applyBorder="1"/>
    <xf numFmtId="0" fontId="36" fillId="0" borderId="0" xfId="121" applyFont="1" applyFill="1" applyBorder="1"/>
    <xf numFmtId="185" fontId="42" fillId="0" borderId="0" xfId="492" applyNumberFormat="1" applyFont="1"/>
    <xf numFmtId="177" fontId="36" fillId="0" borderId="0" xfId="348" applyNumberFormat="1" applyFont="1" applyBorder="1"/>
    <xf numFmtId="185" fontId="71" fillId="0" borderId="0" xfId="121" applyNumberFormat="1" applyFont="1"/>
    <xf numFmtId="0" fontId="71" fillId="0" borderId="0" xfId="121" applyFont="1"/>
    <xf numFmtId="0" fontId="68" fillId="0" borderId="0" xfId="121" applyFont="1" applyFill="1" applyBorder="1"/>
    <xf numFmtId="0" fontId="68" fillId="0" borderId="0" xfId="121" applyFont="1"/>
    <xf numFmtId="185" fontId="68" fillId="0" borderId="0" xfId="492" applyNumberFormat="1" applyFont="1" applyFill="1" applyBorder="1"/>
    <xf numFmtId="0" fontId="71" fillId="4" borderId="0" xfId="121" applyFont="1" applyFill="1"/>
    <xf numFmtId="177" fontId="71" fillId="4" borderId="0" xfId="121" applyNumberFormat="1" applyFont="1" applyFill="1"/>
    <xf numFmtId="177" fontId="71" fillId="4" borderId="0" xfId="348" applyNumberFormat="1" applyFont="1" applyFill="1"/>
    <xf numFmtId="177" fontId="0" fillId="0" borderId="0" xfId="493" applyNumberFormat="1" applyFont="1" applyFill="1"/>
    <xf numFmtId="184" fontId="0" fillId="0" borderId="0" xfId="492" applyFont="1"/>
    <xf numFmtId="177" fontId="0" fillId="0" borderId="0" xfId="493" applyNumberFormat="1" applyFont="1"/>
    <xf numFmtId="185" fontId="18" fillId="0" borderId="0" xfId="121" applyNumberFormat="1"/>
    <xf numFmtId="167" fontId="18" fillId="0" borderId="0" xfId="121" applyNumberFormat="1"/>
    <xf numFmtId="10" fontId="18" fillId="0" borderId="53" xfId="121" applyNumberFormat="1" applyBorder="1"/>
    <xf numFmtId="177" fontId="18" fillId="0" borderId="0" xfId="121" applyNumberFormat="1"/>
    <xf numFmtId="185" fontId="4" fillId="0" borderId="0" xfId="492" applyNumberFormat="1" applyFont="1"/>
    <xf numFmtId="177" fontId="68" fillId="0" borderId="0" xfId="121" applyNumberFormat="1" applyFont="1"/>
    <xf numFmtId="10" fontId="18" fillId="0" borderId="0" xfId="348" applyNumberFormat="1" applyFont="1" applyFill="1"/>
    <xf numFmtId="177" fontId="18" fillId="0" borderId="0" xfId="121" applyNumberFormat="1" applyFill="1"/>
    <xf numFmtId="177" fontId="68" fillId="0" borderId="0" xfId="121" applyNumberFormat="1" applyFont="1" applyFill="1"/>
    <xf numFmtId="177" fontId="0" fillId="0" borderId="0" xfId="348" applyNumberFormat="1" applyFont="1" applyFill="1"/>
    <xf numFmtId="0" fontId="71" fillId="0" borderId="0" xfId="121" applyFont="1" applyAlignment="1">
      <alignment horizontal="center"/>
    </xf>
    <xf numFmtId="2" fontId="0" fillId="0" borderId="0" xfId="0" applyNumberFormat="1" applyAlignment="1">
      <alignment horizontal="center"/>
    </xf>
    <xf numFmtId="182" fontId="0" fillId="0" borderId="0" xfId="0" applyNumberFormat="1"/>
    <xf numFmtId="168" fontId="36" fillId="8" borderId="57" xfId="0" applyNumberFormat="1" applyFont="1" applyFill="1" applyBorder="1" applyAlignment="1">
      <alignment horizontal="right" vertical="center"/>
    </xf>
    <xf numFmtId="168" fontId="83" fillId="8" borderId="57" xfId="0" applyNumberFormat="1" applyFont="1" applyFill="1" applyBorder="1" applyAlignment="1">
      <alignment horizontal="right" vertical="center"/>
    </xf>
    <xf numFmtId="0" fontId="71" fillId="0" borderId="0" xfId="121" applyFont="1" applyAlignment="1">
      <alignment horizontal="center"/>
    </xf>
    <xf numFmtId="0" fontId="71" fillId="4" borderId="0" xfId="121" applyFont="1" applyFill="1" applyAlignment="1">
      <alignment horizontal="center"/>
    </xf>
    <xf numFmtId="0" fontId="78" fillId="0" borderId="0" xfId="121" applyFont="1"/>
    <xf numFmtId="185" fontId="78" fillId="0" borderId="0" xfId="492" applyNumberFormat="1" applyFont="1" applyFill="1"/>
    <xf numFmtId="9" fontId="78" fillId="0" borderId="0" xfId="121" applyNumberFormat="1" applyFont="1"/>
    <xf numFmtId="0" fontId="84" fillId="0" borderId="0" xfId="121" applyFont="1"/>
    <xf numFmtId="185" fontId="74" fillId="0" borderId="0" xfId="492" applyNumberFormat="1" applyFont="1"/>
    <xf numFmtId="185" fontId="84" fillId="0" borderId="0" xfId="121" applyNumberFormat="1" applyFont="1"/>
    <xf numFmtId="177" fontId="71" fillId="0" borderId="0" xfId="348" applyNumberFormat="1" applyFont="1"/>
    <xf numFmtId="10" fontId="18" fillId="0" borderId="0" xfId="348" applyNumberFormat="1" applyFont="1"/>
    <xf numFmtId="10" fontId="18" fillId="0" borderId="0" xfId="121" applyNumberFormat="1" applyFill="1"/>
    <xf numFmtId="0" fontId="18" fillId="0" borderId="0" xfId="121" applyBorder="1"/>
    <xf numFmtId="177" fontId="18" fillId="0" borderId="0" xfId="348" applyNumberFormat="1" applyFont="1" applyBorder="1"/>
    <xf numFmtId="185" fontId="36" fillId="0" borderId="0" xfId="121" applyNumberFormat="1" applyFont="1"/>
    <xf numFmtId="0" fontId="36" fillId="0" borderId="0" xfId="121" applyFont="1"/>
    <xf numFmtId="186" fontId="18" fillId="0" borderId="0" xfId="121" applyNumberFormat="1"/>
    <xf numFmtId="177" fontId="71" fillId="0" borderId="0" xfId="348" applyNumberFormat="1" applyFont="1" applyAlignment="1">
      <alignment horizontal="center"/>
    </xf>
    <xf numFmtId="185" fontId="70" fillId="0" borderId="0" xfId="492" applyNumberFormat="1" applyFont="1"/>
    <xf numFmtId="185" fontId="0" fillId="36" borderId="0" xfId="492" applyNumberFormat="1" applyFont="1" applyFill="1"/>
    <xf numFmtId="177" fontId="18" fillId="36" borderId="0" xfId="348" applyNumberFormat="1" applyFont="1" applyFill="1"/>
    <xf numFmtId="177" fontId="36" fillId="0" borderId="0" xfId="121" applyNumberFormat="1" applyFont="1"/>
    <xf numFmtId="187" fontId="36" fillId="0" borderId="0" xfId="121" applyNumberFormat="1" applyFont="1"/>
    <xf numFmtId="185" fontId="18" fillId="0" borderId="0" xfId="121" applyNumberFormat="1" applyFont="1"/>
    <xf numFmtId="9" fontId="18" fillId="0" borderId="0" xfId="348" applyFont="1"/>
    <xf numFmtId="187" fontId="68" fillId="0" borderId="0" xfId="121" applyNumberFormat="1" applyFont="1"/>
    <xf numFmtId="185" fontId="0" fillId="4" borderId="0" xfId="492" applyNumberFormat="1" applyFont="1" applyFill="1"/>
    <xf numFmtId="10" fontId="18" fillId="0" borderId="0" xfId="121" applyNumberFormat="1" applyBorder="1"/>
    <xf numFmtId="186" fontId="18" fillId="0" borderId="0" xfId="121" applyNumberFormat="1" applyFill="1"/>
    <xf numFmtId="185" fontId="78" fillId="0" borderId="0" xfId="121" applyNumberFormat="1" applyFont="1"/>
    <xf numFmtId="177" fontId="71" fillId="0" borderId="0" xfId="121" applyNumberFormat="1" applyFont="1"/>
    <xf numFmtId="10" fontId="18" fillId="0" borderId="0" xfId="121" applyNumberFormat="1"/>
    <xf numFmtId="185" fontId="68" fillId="0" borderId="0" xfId="121" applyNumberFormat="1" applyFont="1"/>
    <xf numFmtId="0" fontId="68" fillId="0" borderId="0" xfId="121" applyFont="1" applyFill="1"/>
    <xf numFmtId="177" fontId="68" fillId="0" borderId="0" xfId="348" applyNumberFormat="1" applyFont="1" applyFill="1"/>
    <xf numFmtId="185" fontId="4" fillId="0" borderId="0" xfId="492" applyNumberFormat="1" applyFont="1" applyFill="1"/>
    <xf numFmtId="177" fontId="4" fillId="0" borderId="0" xfId="493" applyNumberFormat="1" applyFont="1" applyFill="1"/>
    <xf numFmtId="0" fontId="4" fillId="0" borderId="0" xfId="492" applyNumberFormat="1" applyFont="1"/>
    <xf numFmtId="177" fontId="4" fillId="0" borderId="0" xfId="492" applyNumberFormat="1" applyFont="1"/>
    <xf numFmtId="184" fontId="4" fillId="0" borderId="0" xfId="492" applyFont="1"/>
    <xf numFmtId="177" fontId="4" fillId="0" borderId="0" xfId="493" applyNumberFormat="1" applyFont="1"/>
    <xf numFmtId="185" fontId="68" fillId="0" borderId="0" xfId="121" applyNumberFormat="1" applyFont="1" applyFill="1"/>
    <xf numFmtId="177" fontId="68" fillId="0" borderId="0" xfId="348" applyNumberFormat="1" applyFont="1"/>
    <xf numFmtId="185" fontId="4" fillId="36" borderId="0" xfId="492" applyNumberFormat="1" applyFont="1" applyFill="1"/>
    <xf numFmtId="177" fontId="68" fillId="36" borderId="0" xfId="348" applyNumberFormat="1" applyFont="1" applyFill="1"/>
    <xf numFmtId="167" fontId="68" fillId="0" borderId="0" xfId="121" applyNumberFormat="1" applyFont="1"/>
    <xf numFmtId="187" fontId="4" fillId="0" borderId="0" xfId="492" applyNumberFormat="1" applyFont="1"/>
    <xf numFmtId="177" fontId="68" fillId="0" borderId="0" xfId="348" applyNumberFormat="1" applyFont="1" applyBorder="1"/>
    <xf numFmtId="0" fontId="68" fillId="4" borderId="0" xfId="121" applyFont="1" applyFill="1"/>
    <xf numFmtId="177" fontId="68" fillId="4" borderId="0" xfId="121" applyNumberFormat="1" applyFont="1" applyFill="1"/>
    <xf numFmtId="177" fontId="68" fillId="4" borderId="0" xfId="348" applyNumberFormat="1" applyFont="1" applyFill="1"/>
    <xf numFmtId="184" fontId="68" fillId="0" borderId="0" xfId="121" applyNumberFormat="1" applyFont="1"/>
    <xf numFmtId="177" fontId="18" fillId="37" borderId="0" xfId="121" applyNumberFormat="1" applyFill="1"/>
    <xf numFmtId="177" fontId="18" fillId="37" borderId="53" xfId="121" applyNumberFormat="1" applyFill="1" applyBorder="1"/>
    <xf numFmtId="177" fontId="18" fillId="0" borderId="0" xfId="121" applyNumberFormat="1" applyBorder="1"/>
    <xf numFmtId="0" fontId="7" fillId="0" borderId="0" xfId="0" applyFont="1" applyFill="1"/>
    <xf numFmtId="3" fontId="7" fillId="0" borderId="0" xfId="0" applyNumberFormat="1" applyFont="1" applyFill="1"/>
    <xf numFmtId="3" fontId="72" fillId="0" borderId="17" xfId="38" applyNumberFormat="1" applyFont="1" applyFill="1" applyBorder="1" applyAlignment="1">
      <alignment horizontal="left" vertical="center" wrapText="1" indent="2"/>
    </xf>
    <xf numFmtId="3" fontId="72" fillId="0" borderId="17" xfId="38" applyNumberFormat="1" applyFont="1" applyFill="1" applyBorder="1" applyAlignment="1">
      <alignment horizontal="right" vertical="center" wrapText="1" indent="2"/>
    </xf>
    <xf numFmtId="3" fontId="72" fillId="0" borderId="17" xfId="38" applyNumberFormat="1" applyFont="1" applyFill="1" applyBorder="1" applyAlignment="1">
      <alignment horizontal="right" vertical="center" wrapText="1"/>
    </xf>
    <xf numFmtId="3" fontId="72" fillId="0" borderId="61" xfId="38" applyNumberFormat="1" applyFont="1" applyFill="1" applyBorder="1" applyAlignment="1">
      <alignment horizontal="left" vertical="center" wrapText="1" indent="2"/>
    </xf>
    <xf numFmtId="3" fontId="72" fillId="0" borderId="60" xfId="38" applyNumberFormat="1" applyFont="1" applyFill="1" applyBorder="1" applyAlignment="1">
      <alignment horizontal="left" vertical="center" wrapText="1" indent="2"/>
    </xf>
    <xf numFmtId="177" fontId="32" fillId="0" borderId="2" xfId="0" applyNumberFormat="1" applyFont="1" applyFill="1" applyBorder="1" applyAlignment="1">
      <alignment horizontal="right" vertical="center" wrapText="1"/>
    </xf>
    <xf numFmtId="9" fontId="72" fillId="0" borderId="60" xfId="38" applyNumberFormat="1" applyFont="1" applyFill="1" applyBorder="1" applyAlignment="1">
      <alignment horizontal="left" vertical="center" wrapText="1" indent="2"/>
    </xf>
    <xf numFmtId="3" fontId="68" fillId="0" borderId="0" xfId="121" applyNumberFormat="1" applyFont="1" applyFill="1"/>
    <xf numFmtId="177" fontId="18" fillId="0" borderId="0" xfId="121" applyNumberFormat="1" applyFill="1" applyBorder="1"/>
    <xf numFmtId="3" fontId="18" fillId="37" borderId="0" xfId="121" applyNumberFormat="1" applyFill="1"/>
    <xf numFmtId="188" fontId="35" fillId="8" borderId="14" xfId="348" applyNumberFormat="1" applyFont="1" applyFill="1" applyBorder="1" applyAlignment="1">
      <alignment horizontal="right" vertical="center"/>
    </xf>
    <xf numFmtId="185" fontId="84" fillId="0" borderId="41" xfId="121" applyNumberFormat="1" applyFont="1" applyBorder="1"/>
    <xf numFmtId="185" fontId="78" fillId="0" borderId="41" xfId="492" applyNumberFormat="1" applyFont="1" applyBorder="1"/>
    <xf numFmtId="9" fontId="78" fillId="0" borderId="46" xfId="121" applyNumberFormat="1" applyFont="1" applyBorder="1"/>
    <xf numFmtId="0" fontId="84" fillId="0" borderId="46" xfId="121" applyFont="1" applyBorder="1"/>
    <xf numFmtId="185" fontId="42" fillId="0" borderId="41" xfId="492" applyNumberFormat="1" applyFont="1" applyBorder="1"/>
    <xf numFmtId="177" fontId="71" fillId="0" borderId="46" xfId="348" applyNumberFormat="1" applyFont="1" applyBorder="1"/>
    <xf numFmtId="185" fontId="0" fillId="0" borderId="41" xfId="492" applyNumberFormat="1" applyFont="1" applyBorder="1"/>
    <xf numFmtId="177" fontId="18" fillId="0" borderId="46" xfId="348" applyNumberFormat="1" applyFont="1" applyBorder="1"/>
    <xf numFmtId="185" fontId="0" fillId="0" borderId="41" xfId="492" applyNumberFormat="1" applyFont="1" applyFill="1" applyBorder="1"/>
    <xf numFmtId="177" fontId="18" fillId="0" borderId="46" xfId="348" applyNumberFormat="1" applyFont="1" applyFill="1" applyBorder="1"/>
    <xf numFmtId="177" fontId="18" fillId="0" borderId="42" xfId="348" applyNumberFormat="1" applyFont="1" applyBorder="1"/>
    <xf numFmtId="185" fontId="36" fillId="0" borderId="41" xfId="121" applyNumberFormat="1" applyFont="1" applyBorder="1"/>
    <xf numFmtId="177" fontId="36" fillId="0" borderId="46" xfId="348" applyNumberFormat="1" applyFont="1" applyBorder="1"/>
    <xf numFmtId="185" fontId="71" fillId="0" borderId="41" xfId="121" applyNumberFormat="1" applyFont="1" applyBorder="1"/>
    <xf numFmtId="185" fontId="0" fillId="0" borderId="21" xfId="492" applyNumberFormat="1" applyFont="1" applyBorder="1"/>
    <xf numFmtId="0" fontId="71" fillId="0" borderId="41" xfId="121" applyFont="1" applyBorder="1"/>
    <xf numFmtId="0" fontId="71" fillId="0" borderId="46" xfId="121" applyFont="1" applyBorder="1"/>
    <xf numFmtId="185" fontId="78" fillId="0" borderId="41" xfId="121" applyNumberFormat="1" applyFont="1" applyBorder="1"/>
    <xf numFmtId="177" fontId="71" fillId="0" borderId="46" xfId="121" applyNumberFormat="1" applyFont="1" applyBorder="1"/>
    <xf numFmtId="185" fontId="18" fillId="0" borderId="41" xfId="121" applyNumberFormat="1" applyBorder="1"/>
    <xf numFmtId="177" fontId="18" fillId="0" borderId="46" xfId="121" applyNumberFormat="1" applyBorder="1"/>
    <xf numFmtId="185" fontId="18" fillId="0" borderId="41" xfId="121" applyNumberFormat="1" applyFill="1" applyBorder="1"/>
    <xf numFmtId="177" fontId="18" fillId="0" borderId="46" xfId="121" applyNumberFormat="1" applyFill="1" applyBorder="1"/>
    <xf numFmtId="177" fontId="36" fillId="0" borderId="46" xfId="121" applyNumberFormat="1" applyFont="1" applyBorder="1"/>
    <xf numFmtId="0" fontId="18" fillId="0" borderId="15" xfId="121" applyFill="1" applyBorder="1"/>
    <xf numFmtId="0" fontId="18" fillId="0" borderId="19" xfId="121" applyBorder="1"/>
    <xf numFmtId="0" fontId="18" fillId="0" borderId="20" xfId="121" applyFill="1" applyBorder="1"/>
    <xf numFmtId="0" fontId="71" fillId="0" borderId="41" xfId="121" applyFont="1" applyFill="1" applyBorder="1" applyAlignment="1">
      <alignment horizontal="center"/>
    </xf>
    <xf numFmtId="0" fontId="71" fillId="0" borderId="0" xfId="121" applyFont="1" applyBorder="1"/>
    <xf numFmtId="0" fontId="71" fillId="0" borderId="46" xfId="121" applyFont="1" applyFill="1" applyBorder="1" applyAlignment="1">
      <alignment horizontal="center"/>
    </xf>
    <xf numFmtId="0" fontId="71" fillId="0" borderId="41" xfId="121" applyFont="1" applyFill="1" applyBorder="1"/>
    <xf numFmtId="0" fontId="71" fillId="0" borderId="46" xfId="121" applyFont="1" applyFill="1" applyBorder="1"/>
    <xf numFmtId="3" fontId="78" fillId="37" borderId="41" xfId="121" applyNumberFormat="1" applyFont="1" applyFill="1" applyBorder="1"/>
    <xf numFmtId="177" fontId="78" fillId="37" borderId="0" xfId="121" applyNumberFormat="1" applyFont="1" applyFill="1" applyBorder="1"/>
    <xf numFmtId="177" fontId="71" fillId="37" borderId="46" xfId="121" applyNumberFormat="1" applyFont="1" applyFill="1" applyBorder="1"/>
    <xf numFmtId="3" fontId="84" fillId="37" borderId="41" xfId="121" applyNumberFormat="1" applyFont="1" applyFill="1" applyBorder="1"/>
    <xf numFmtId="177" fontId="84" fillId="37" borderId="0" xfId="121" applyNumberFormat="1" applyFont="1" applyFill="1" applyBorder="1"/>
    <xf numFmtId="3" fontId="71" fillId="37" borderId="41" xfId="121" applyNumberFormat="1" applyFont="1" applyFill="1" applyBorder="1"/>
    <xf numFmtId="177" fontId="71" fillId="37" borderId="0" xfId="121" applyNumberFormat="1" applyFont="1" applyFill="1" applyBorder="1"/>
    <xf numFmtId="0" fontId="18" fillId="0" borderId="41" xfId="121" applyFill="1" applyBorder="1"/>
    <xf numFmtId="185" fontId="71" fillId="37" borderId="41" xfId="121" applyNumberFormat="1" applyFont="1" applyFill="1" applyBorder="1"/>
    <xf numFmtId="3" fontId="18" fillId="37" borderId="41" xfId="121" applyNumberFormat="1" applyFill="1" applyBorder="1"/>
    <xf numFmtId="177" fontId="18" fillId="37" borderId="0" xfId="121" applyNumberFormat="1" applyFill="1" applyBorder="1"/>
    <xf numFmtId="3" fontId="36" fillId="37" borderId="41" xfId="121" applyNumberFormat="1" applyFont="1" applyFill="1" applyBorder="1"/>
    <xf numFmtId="177" fontId="36" fillId="37" borderId="0" xfId="121" applyNumberFormat="1" applyFont="1" applyFill="1" applyBorder="1"/>
    <xf numFmtId="177" fontId="36" fillId="37" borderId="46" xfId="121" applyNumberFormat="1" applyFont="1" applyFill="1" applyBorder="1"/>
    <xf numFmtId="177" fontId="71" fillId="0" borderId="0" xfId="121" applyNumberFormat="1" applyFont="1" applyBorder="1"/>
    <xf numFmtId="177" fontId="71" fillId="0" borderId="46" xfId="121" applyNumberFormat="1" applyFont="1" applyFill="1" applyBorder="1"/>
    <xf numFmtId="177" fontId="18" fillId="37" borderId="46" xfId="121" applyNumberFormat="1" applyFill="1" applyBorder="1"/>
    <xf numFmtId="168" fontId="63" fillId="6" borderId="45" xfId="0" applyNumberFormat="1" applyFont="1" applyFill="1" applyBorder="1" applyAlignment="1">
      <alignment horizontal="right" vertical="center" wrapText="1"/>
    </xf>
    <xf numFmtId="185" fontId="18" fillId="0" borderId="21" xfId="121" applyNumberFormat="1" applyBorder="1"/>
    <xf numFmtId="177" fontId="18" fillId="0" borderId="42" xfId="121" applyNumberFormat="1" applyBorder="1"/>
    <xf numFmtId="3" fontId="18" fillId="37" borderId="21" xfId="121" applyNumberFormat="1" applyFill="1" applyBorder="1"/>
    <xf numFmtId="0" fontId="71" fillId="0" borderId="41" xfId="121" applyFont="1" applyBorder="1" applyAlignment="1">
      <alignment horizontal="center"/>
    </xf>
    <xf numFmtId="0" fontId="71" fillId="0" borderId="46" xfId="121" applyFont="1" applyBorder="1" applyAlignment="1">
      <alignment horizontal="center"/>
    </xf>
    <xf numFmtId="185" fontId="0" fillId="0" borderId="53" xfId="492" applyNumberFormat="1" applyFont="1" applyFill="1" applyBorder="1"/>
    <xf numFmtId="185" fontId="0" fillId="0" borderId="21" xfId="492" applyNumberFormat="1" applyFont="1" applyFill="1" applyBorder="1"/>
    <xf numFmtId="185" fontId="18" fillId="0" borderId="53" xfId="121" applyNumberFormat="1" applyBorder="1"/>
    <xf numFmtId="177" fontId="18" fillId="0" borderId="53" xfId="121" applyNumberFormat="1" applyBorder="1"/>
    <xf numFmtId="185" fontId="0" fillId="0" borderId="53" xfId="492" applyNumberFormat="1" applyFont="1" applyBorder="1"/>
    <xf numFmtId="0" fontId="18" fillId="0" borderId="41" xfId="121" applyBorder="1"/>
    <xf numFmtId="0" fontId="18" fillId="0" borderId="46" xfId="121" applyBorder="1"/>
    <xf numFmtId="9" fontId="18" fillId="0" borderId="46" xfId="121" applyNumberFormat="1" applyBorder="1"/>
    <xf numFmtId="177" fontId="0" fillId="0" borderId="46" xfId="493" applyNumberFormat="1" applyFont="1" applyFill="1" applyBorder="1"/>
    <xf numFmtId="185" fontId="0" fillId="0" borderId="46" xfId="492" applyNumberFormat="1" applyFont="1" applyBorder="1"/>
    <xf numFmtId="177" fontId="71" fillId="4" borderId="46" xfId="348" applyNumberFormat="1" applyFont="1" applyFill="1" applyBorder="1"/>
    <xf numFmtId="177" fontId="0" fillId="0" borderId="46" xfId="493" applyNumberFormat="1" applyFont="1" applyBorder="1"/>
    <xf numFmtId="177" fontId="71" fillId="37" borderId="42" xfId="121" applyNumberFormat="1" applyFont="1" applyFill="1" applyBorder="1"/>
    <xf numFmtId="177" fontId="71" fillId="0" borderId="0" xfId="121" applyNumberFormat="1" applyFont="1" applyFill="1" applyBorder="1"/>
    <xf numFmtId="185" fontId="71" fillId="37" borderId="41" xfId="121" applyNumberFormat="1" applyFont="1" applyFill="1" applyBorder="1" applyAlignment="1">
      <alignment horizontal="right"/>
    </xf>
    <xf numFmtId="0" fontId="85" fillId="0" borderId="0" xfId="0" applyFont="1"/>
    <xf numFmtId="3" fontId="0" fillId="0" borderId="0" xfId="0" applyNumberFormat="1" applyFill="1"/>
    <xf numFmtId="3" fontId="7" fillId="36" borderId="0" xfId="0" applyNumberFormat="1" applyFont="1" applyFill="1"/>
    <xf numFmtId="184" fontId="0" fillId="0" borderId="0" xfId="492" applyNumberFormat="1" applyFont="1"/>
    <xf numFmtId="0" fontId="0" fillId="0" borderId="0" xfId="0" applyAlignment="1">
      <alignment horizontal="left" indent="2"/>
    </xf>
    <xf numFmtId="185" fontId="0" fillId="4" borderId="41" xfId="492" applyNumberFormat="1" applyFont="1" applyFill="1" applyBorder="1"/>
    <xf numFmtId="185" fontId="0" fillId="4" borderId="21" xfId="492" applyNumberFormat="1" applyFont="1" applyFill="1" applyBorder="1"/>
    <xf numFmtId="0" fontId="71" fillId="0" borderId="0" xfId="121" applyFont="1" applyAlignment="1">
      <alignment horizontal="center"/>
    </xf>
    <xf numFmtId="0" fontId="71" fillId="0" borderId="41" xfId="121" applyFont="1" applyBorder="1" applyAlignment="1">
      <alignment horizontal="center"/>
    </xf>
    <xf numFmtId="0" fontId="71" fillId="0" borderId="46" xfId="121" applyFont="1" applyBorder="1" applyAlignment="1">
      <alignment horizontal="center"/>
    </xf>
    <xf numFmtId="0" fontId="0" fillId="0" borderId="0" xfId="0" applyFill="1" applyAlignment="1">
      <alignment horizontal="left" indent="2"/>
    </xf>
    <xf numFmtId="3" fontId="61" fillId="0" borderId="0" xfId="0" applyNumberFormat="1" applyFont="1" applyFill="1"/>
    <xf numFmtId="3" fontId="4" fillId="0" borderId="0" xfId="0" applyNumberFormat="1" applyFont="1" applyFill="1"/>
    <xf numFmtId="0" fontId="71" fillId="0" borderId="41" xfId="121" applyFont="1" applyBorder="1" applyAlignment="1">
      <alignment horizontal="center"/>
    </xf>
    <xf numFmtId="0" fontId="71" fillId="0" borderId="46" xfId="121" applyFont="1" applyBorder="1" applyAlignment="1">
      <alignment horizontal="center"/>
    </xf>
    <xf numFmtId="185" fontId="18" fillId="0" borderId="0" xfId="121" applyNumberFormat="1" applyBorder="1"/>
    <xf numFmtId="0" fontId="71" fillId="0" borderId="0" xfId="121" applyFont="1" applyFill="1" applyBorder="1" applyAlignment="1">
      <alignment horizontal="center"/>
    </xf>
    <xf numFmtId="3" fontId="78" fillId="37" borderId="0" xfId="121" applyNumberFormat="1" applyFont="1" applyFill="1" applyBorder="1"/>
    <xf numFmtId="0" fontId="71" fillId="0" borderId="0" xfId="121" applyFont="1" applyFill="1" applyBorder="1"/>
    <xf numFmtId="3" fontId="84" fillId="37" borderId="0" xfId="121" applyNumberFormat="1" applyFont="1" applyFill="1" applyBorder="1"/>
    <xf numFmtId="3" fontId="71" fillId="37" borderId="0" xfId="121" applyNumberFormat="1" applyFont="1" applyFill="1" applyBorder="1"/>
    <xf numFmtId="0" fontId="18" fillId="0" borderId="0" xfId="121" applyFill="1" applyBorder="1"/>
    <xf numFmtId="185" fontId="71" fillId="37" borderId="0" xfId="121" applyNumberFormat="1" applyFont="1" applyFill="1" applyBorder="1"/>
    <xf numFmtId="3" fontId="18" fillId="37" borderId="0" xfId="121" applyNumberFormat="1" applyFill="1" applyBorder="1"/>
    <xf numFmtId="3" fontId="18" fillId="37" borderId="53" xfId="121" applyNumberFormat="1" applyFill="1" applyBorder="1"/>
    <xf numFmtId="3" fontId="36" fillId="37" borderId="0" xfId="121" applyNumberFormat="1" applyFont="1" applyFill="1" applyBorder="1"/>
    <xf numFmtId="3" fontId="71" fillId="0" borderId="0" xfId="121" applyNumberFormat="1" applyFont="1" applyFill="1" applyBorder="1"/>
    <xf numFmtId="0" fontId="18" fillId="37" borderId="0" xfId="121" applyFill="1" applyBorder="1"/>
    <xf numFmtId="3" fontId="18" fillId="0" borderId="0" xfId="121" applyNumberFormat="1" applyFill="1" applyBorder="1"/>
    <xf numFmtId="168" fontId="83" fillId="4" borderId="57" xfId="0" applyNumberFormat="1" applyFont="1" applyFill="1" applyBorder="1" applyAlignment="1">
      <alignment horizontal="right" vertical="center"/>
    </xf>
    <xf numFmtId="0" fontId="18" fillId="0" borderId="46" xfId="121" applyFill="1" applyBorder="1"/>
    <xf numFmtId="185" fontId="82" fillId="0" borderId="0" xfId="492" applyNumberFormat="1" applyFont="1"/>
    <xf numFmtId="185" fontId="0" fillId="0" borderId="0" xfId="492" applyNumberFormat="1" applyFont="1" applyFill="1" applyBorder="1"/>
    <xf numFmtId="177" fontId="18" fillId="0" borderId="41" xfId="348" applyNumberFormat="1" applyFont="1" applyBorder="1"/>
    <xf numFmtId="0" fontId="87" fillId="0" borderId="0" xfId="121" applyFont="1" applyBorder="1"/>
    <xf numFmtId="184" fontId="85" fillId="0" borderId="0" xfId="492" applyNumberFormat="1" applyFont="1" applyFill="1" applyBorder="1"/>
    <xf numFmtId="177" fontId="87" fillId="0" borderId="0" xfId="348" applyNumberFormat="1" applyFont="1" applyBorder="1"/>
    <xf numFmtId="184" fontId="85" fillId="0" borderId="41" xfId="492" applyNumberFormat="1" applyFont="1" applyFill="1" applyBorder="1"/>
    <xf numFmtId="177" fontId="87" fillId="0" borderId="46" xfId="348" applyNumberFormat="1" applyFont="1" applyBorder="1"/>
    <xf numFmtId="185" fontId="87" fillId="0" borderId="0" xfId="121" applyNumberFormat="1" applyFont="1" applyBorder="1"/>
    <xf numFmtId="177" fontId="87" fillId="0" borderId="0" xfId="121" applyNumberFormat="1" applyFont="1" applyBorder="1"/>
    <xf numFmtId="0" fontId="87" fillId="0" borderId="0" xfId="121" applyFont="1"/>
    <xf numFmtId="0" fontId="84" fillId="0" borderId="0" xfId="121" applyFont="1" applyBorder="1"/>
    <xf numFmtId="184" fontId="74" fillId="0" borderId="0" xfId="492" applyNumberFormat="1" applyFont="1" applyFill="1" applyBorder="1"/>
    <xf numFmtId="177" fontId="84" fillId="0" borderId="0" xfId="348" applyNumberFormat="1" applyFont="1" applyBorder="1"/>
    <xf numFmtId="184" fontId="74" fillId="0" borderId="41" xfId="492" applyNumberFormat="1" applyFont="1" applyFill="1" applyBorder="1"/>
    <xf numFmtId="177" fontId="84" fillId="0" borderId="46" xfId="348" applyNumberFormat="1" applyFont="1" applyBorder="1"/>
    <xf numFmtId="185" fontId="84" fillId="0" borderId="0" xfId="121" applyNumberFormat="1" applyFont="1" applyBorder="1"/>
    <xf numFmtId="177" fontId="84" fillId="0" borderId="0" xfId="121" applyNumberFormat="1" applyFont="1" applyBorder="1"/>
    <xf numFmtId="184" fontId="74" fillId="0" borderId="0" xfId="492" applyNumberFormat="1" applyFont="1"/>
    <xf numFmtId="189" fontId="74" fillId="0" borderId="0" xfId="492" applyNumberFormat="1" applyFont="1"/>
    <xf numFmtId="189" fontId="74" fillId="0" borderId="41" xfId="492" applyNumberFormat="1" applyFont="1" applyBorder="1"/>
    <xf numFmtId="177" fontId="84" fillId="0" borderId="0" xfId="121" applyNumberFormat="1" applyFont="1"/>
    <xf numFmtId="0" fontId="86" fillId="0" borderId="0" xfId="121" applyFont="1" applyBorder="1"/>
    <xf numFmtId="184" fontId="81" fillId="0" borderId="0" xfId="492" applyNumberFormat="1" applyFont="1" applyAlignment="1">
      <alignment horizontal="center"/>
    </xf>
    <xf numFmtId="177" fontId="86" fillId="0" borderId="0" xfId="348" applyNumberFormat="1" applyFont="1" applyBorder="1"/>
    <xf numFmtId="184" fontId="81" fillId="0" borderId="41" xfId="492" applyNumberFormat="1" applyFont="1" applyBorder="1" applyAlignment="1">
      <alignment horizontal="center"/>
    </xf>
    <xf numFmtId="177" fontId="86" fillId="0" borderId="46" xfId="348" applyNumberFormat="1" applyFont="1" applyBorder="1"/>
    <xf numFmtId="0" fontId="86" fillId="0" borderId="0" xfId="121" applyFont="1"/>
    <xf numFmtId="185" fontId="86" fillId="0" borderId="0" xfId="121" applyNumberFormat="1" applyFont="1"/>
    <xf numFmtId="177" fontId="86" fillId="0" borderId="0" xfId="121" applyNumberFormat="1" applyFont="1"/>
    <xf numFmtId="0" fontId="88" fillId="0" borderId="0" xfId="121" applyFont="1" applyBorder="1"/>
    <xf numFmtId="184" fontId="73" fillId="0" borderId="0" xfId="492" applyNumberFormat="1" applyFont="1" applyAlignment="1">
      <alignment horizontal="center"/>
    </xf>
    <xf numFmtId="184" fontId="73" fillId="0" borderId="41" xfId="492" applyNumberFormat="1" applyFont="1" applyBorder="1" applyAlignment="1">
      <alignment horizontal="center"/>
    </xf>
    <xf numFmtId="0" fontId="88" fillId="0" borderId="0" xfId="121" applyFont="1"/>
    <xf numFmtId="185" fontId="88" fillId="0" borderId="0" xfId="121" applyNumberFormat="1" applyFont="1"/>
    <xf numFmtId="177" fontId="88" fillId="0" borderId="0" xfId="121" applyNumberFormat="1" applyFont="1"/>
    <xf numFmtId="0" fontId="89" fillId="0" borderId="0" xfId="121" applyFont="1" applyBorder="1"/>
    <xf numFmtId="184" fontId="90" fillId="0" borderId="0" xfId="492" applyNumberFormat="1" applyFont="1"/>
    <xf numFmtId="177" fontId="91" fillId="0" borderId="0" xfId="348" applyNumberFormat="1" applyFont="1" applyBorder="1"/>
    <xf numFmtId="184" fontId="90" fillId="0" borderId="41" xfId="492" applyNumberFormat="1" applyFont="1" applyBorder="1"/>
    <xf numFmtId="177" fontId="91" fillId="0" borderId="46" xfId="348" applyNumberFormat="1" applyFont="1" applyBorder="1"/>
    <xf numFmtId="0" fontId="89" fillId="0" borderId="0" xfId="121" applyFont="1"/>
    <xf numFmtId="185" fontId="89" fillId="0" borderId="0" xfId="121" applyNumberFormat="1" applyFont="1"/>
    <xf numFmtId="177" fontId="89" fillId="0" borderId="0" xfId="121" applyNumberFormat="1" applyFont="1"/>
    <xf numFmtId="4" fontId="18" fillId="37" borderId="41" xfId="121" applyNumberFormat="1" applyFill="1" applyBorder="1"/>
    <xf numFmtId="0" fontId="0" fillId="4" borderId="0" xfId="0" applyFill="1" applyAlignment="1">
      <alignment horizontal="left" indent="2"/>
    </xf>
    <xf numFmtId="168" fontId="0" fillId="0" borderId="0" xfId="0" applyNumberFormat="1" applyAlignment="1">
      <alignment horizontal="center"/>
    </xf>
    <xf numFmtId="3" fontId="7" fillId="38" borderId="0" xfId="0" applyNumberFormat="1" applyFont="1" applyFill="1"/>
    <xf numFmtId="0" fontId="29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7" fillId="0" borderId="0" xfId="0" applyFont="1"/>
    <xf numFmtId="168" fontId="63" fillId="6" borderId="70" xfId="0" applyNumberFormat="1" applyFont="1" applyFill="1" applyBorder="1" applyAlignment="1">
      <alignment horizontal="right" vertical="center" wrapText="1"/>
    </xf>
    <xf numFmtId="3" fontId="72" fillId="0" borderId="70" xfId="38" applyNumberFormat="1" applyFont="1" applyFill="1" applyBorder="1" applyAlignment="1">
      <alignment horizontal="left" vertical="center" wrapText="1" indent="2"/>
    </xf>
    <xf numFmtId="177" fontId="28" fillId="6" borderId="70" xfId="0" applyNumberFormat="1" applyFont="1" applyFill="1" applyBorder="1" applyAlignment="1">
      <alignment horizontal="right" vertical="center" wrapText="1"/>
    </xf>
    <xf numFmtId="168" fontId="32" fillId="6" borderId="70" xfId="0" applyNumberFormat="1" applyFont="1" applyFill="1" applyBorder="1" applyAlignment="1">
      <alignment horizontal="right" vertical="center" wrapText="1"/>
    </xf>
    <xf numFmtId="168" fontId="33" fillId="6" borderId="70" xfId="0" applyNumberFormat="1" applyFont="1" applyFill="1" applyBorder="1" applyAlignment="1">
      <alignment horizontal="right" vertical="center" wrapText="1"/>
    </xf>
    <xf numFmtId="168" fontId="36" fillId="8" borderId="70" xfId="0" applyNumberFormat="1" applyFont="1" applyFill="1" applyBorder="1" applyAlignment="1">
      <alignment horizontal="right" vertical="center"/>
    </xf>
    <xf numFmtId="168" fontId="62" fillId="8" borderId="70" xfId="0" applyNumberFormat="1" applyFont="1" applyFill="1" applyBorder="1" applyAlignment="1">
      <alignment horizontal="right" vertical="center"/>
    </xf>
    <xf numFmtId="168" fontId="35" fillId="8" borderId="70" xfId="0" applyNumberFormat="1" applyFont="1" applyFill="1" applyBorder="1" applyAlignment="1">
      <alignment horizontal="right" vertical="center"/>
    </xf>
    <xf numFmtId="10" fontId="32" fillId="6" borderId="9" xfId="0" applyNumberFormat="1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168" fontId="32" fillId="4" borderId="59" xfId="0" applyNumberFormat="1" applyFont="1" applyFill="1" applyBorder="1" applyAlignment="1">
      <alignment horizontal="right" vertical="center" wrapText="1"/>
    </xf>
    <xf numFmtId="168" fontId="64" fillId="4" borderId="13" xfId="0" applyNumberFormat="1" applyFont="1" applyFill="1" applyBorder="1" applyAlignment="1">
      <alignment horizontal="right" vertical="center" wrapText="1"/>
    </xf>
    <xf numFmtId="9" fontId="0" fillId="0" borderId="0" xfId="348" applyFont="1" applyFill="1"/>
    <xf numFmtId="0" fontId="10" fillId="0" borderId="0" xfId="92"/>
    <xf numFmtId="0" fontId="93" fillId="0" borderId="0" xfId="92" applyFont="1" applyAlignment="1">
      <alignment vertical="center" wrapText="1"/>
    </xf>
    <xf numFmtId="0" fontId="93" fillId="0" borderId="0" xfId="92" applyFont="1" applyFill="1" applyBorder="1" applyAlignment="1">
      <alignment horizontal="center" vertical="center"/>
    </xf>
    <xf numFmtId="0" fontId="93" fillId="0" borderId="0" xfId="92" applyFont="1" applyAlignment="1"/>
    <xf numFmtId="0" fontId="93" fillId="0" borderId="0" xfId="92" applyFont="1" applyAlignment="1">
      <alignment horizontal="center"/>
    </xf>
    <xf numFmtId="0" fontId="10" fillId="0" borderId="0" xfId="92" applyFill="1"/>
    <xf numFmtId="0" fontId="9" fillId="0" borderId="0" xfId="92" applyFont="1" applyFill="1" applyAlignment="1"/>
    <xf numFmtId="0" fontId="10" fillId="0" borderId="0" xfId="92" applyFont="1"/>
    <xf numFmtId="0" fontId="10" fillId="0" borderId="0" xfId="92" applyFont="1" applyFill="1" applyBorder="1" applyAlignment="1"/>
    <xf numFmtId="0" fontId="10" fillId="0" borderId="0" xfId="92" applyBorder="1"/>
    <xf numFmtId="0" fontId="10" fillId="0" borderId="0" xfId="92" applyFont="1" applyFill="1" applyBorder="1" applyAlignment="1">
      <alignment horizontal="center" vertical="center"/>
    </xf>
    <xf numFmtId="0" fontId="10" fillId="0" borderId="0" xfId="92" applyFont="1" applyFill="1" applyBorder="1" applyAlignment="1">
      <alignment vertical="center"/>
    </xf>
    <xf numFmtId="0" fontId="95" fillId="0" borderId="0" xfId="92" applyFont="1" applyFill="1"/>
    <xf numFmtId="0" fontId="95" fillId="0" borderId="0" xfId="92" applyFont="1"/>
    <xf numFmtId="0" fontId="9" fillId="0" borderId="0" xfId="92" applyFont="1"/>
    <xf numFmtId="0" fontId="10" fillId="0" borderId="0" xfId="92" applyAlignment="1">
      <alignment horizontal="center"/>
    </xf>
    <xf numFmtId="0" fontId="96" fillId="0" borderId="0" xfId="121" applyFont="1"/>
    <xf numFmtId="0" fontId="96" fillId="0" borderId="0" xfId="121" applyFont="1" applyAlignment="1">
      <alignment horizontal="right"/>
    </xf>
    <xf numFmtId="0" fontId="43" fillId="0" borderId="0" xfId="121" applyFont="1"/>
    <xf numFmtId="0" fontId="97" fillId="0" borderId="0" xfId="121" applyFont="1"/>
    <xf numFmtId="0" fontId="10" fillId="0" borderId="0" xfId="121" applyFont="1"/>
    <xf numFmtId="0" fontId="98" fillId="0" borderId="0" xfId="121" applyFont="1" applyAlignment="1">
      <alignment horizontal="center"/>
    </xf>
    <xf numFmtId="0" fontId="98" fillId="0" borderId="0" xfId="121" applyFont="1"/>
    <xf numFmtId="0" fontId="98" fillId="0" borderId="0" xfId="121" applyFont="1" applyAlignment="1">
      <alignment horizontal="left"/>
    </xf>
    <xf numFmtId="0" fontId="10" fillId="35" borderId="47" xfId="121" applyFont="1" applyFill="1" applyBorder="1"/>
    <xf numFmtId="0" fontId="10" fillId="35" borderId="48" xfId="121" applyFont="1" applyFill="1" applyBorder="1"/>
    <xf numFmtId="0" fontId="10" fillId="34" borderId="47" xfId="121" applyFont="1" applyFill="1" applyBorder="1"/>
    <xf numFmtId="0" fontId="10" fillId="34" borderId="48" xfId="121" applyFont="1" applyFill="1" applyBorder="1"/>
    <xf numFmtId="165" fontId="99" fillId="35" borderId="77" xfId="605" applyFont="1" applyFill="1" applyBorder="1" applyAlignment="1" applyProtection="1">
      <alignment horizontal="right"/>
      <protection locked="0"/>
    </xf>
    <xf numFmtId="0" fontId="10" fillId="35" borderId="78" xfId="121" applyFont="1" applyFill="1" applyBorder="1"/>
    <xf numFmtId="165" fontId="99" fillId="34" borderId="29" xfId="605" applyFont="1" applyFill="1" applyBorder="1" applyProtection="1">
      <protection locked="0"/>
    </xf>
    <xf numFmtId="0" fontId="10" fillId="34" borderId="30" xfId="121" applyFont="1" applyFill="1" applyBorder="1"/>
    <xf numFmtId="167" fontId="100" fillId="0" borderId="0" xfId="606" applyFont="1"/>
    <xf numFmtId="0" fontId="10" fillId="35" borderId="29" xfId="121" applyFont="1" applyFill="1" applyBorder="1"/>
    <xf numFmtId="0" fontId="10" fillId="35" borderId="30" xfId="121" applyFont="1" applyFill="1" applyBorder="1"/>
    <xf numFmtId="167" fontId="100" fillId="0" borderId="0" xfId="606" applyFont="1" applyAlignment="1"/>
    <xf numFmtId="165" fontId="99" fillId="34" borderId="77" xfId="605" applyFont="1" applyFill="1" applyBorder="1" applyProtection="1">
      <protection locked="0"/>
    </xf>
    <xf numFmtId="0" fontId="10" fillId="34" borderId="78" xfId="121" applyFont="1" applyFill="1" applyBorder="1"/>
    <xf numFmtId="0" fontId="10" fillId="35" borderId="77" xfId="121" applyFont="1" applyFill="1" applyBorder="1"/>
    <xf numFmtId="0" fontId="10" fillId="34" borderId="29" xfId="121" applyFont="1" applyFill="1" applyBorder="1" applyAlignment="1">
      <alignment horizontal="right"/>
    </xf>
    <xf numFmtId="9" fontId="101" fillId="34" borderId="30" xfId="607" applyFont="1" applyFill="1" applyBorder="1" applyAlignment="1" applyProtection="1">
      <alignment horizontal="left"/>
      <protection locked="0"/>
    </xf>
    <xf numFmtId="165" fontId="99" fillId="35" borderId="77" xfId="605" applyFont="1" applyFill="1" applyBorder="1" applyProtection="1">
      <protection locked="0"/>
    </xf>
    <xf numFmtId="165" fontId="99" fillId="34" borderId="77" xfId="605" applyFont="1" applyFill="1" applyBorder="1"/>
    <xf numFmtId="9" fontId="102" fillId="34" borderId="30" xfId="121" applyNumberFormat="1" applyFont="1" applyFill="1" applyBorder="1" applyAlignment="1">
      <alignment horizontal="left"/>
    </xf>
    <xf numFmtId="0" fontId="10" fillId="40" borderId="0" xfId="121" applyFont="1" applyFill="1"/>
    <xf numFmtId="0" fontId="10" fillId="40" borderId="0" xfId="121" applyFont="1" applyFill="1" applyBorder="1"/>
    <xf numFmtId="0" fontId="10" fillId="40" borderId="0" xfId="121" applyFont="1" applyFill="1" applyBorder="1" applyAlignment="1">
      <alignment horizontal="right"/>
    </xf>
    <xf numFmtId="9" fontId="100" fillId="40" borderId="0" xfId="121" applyNumberFormat="1" applyFont="1" applyFill="1" applyBorder="1" applyAlignment="1">
      <alignment horizontal="left"/>
    </xf>
    <xf numFmtId="0" fontId="95" fillId="40" borderId="0" xfId="121" applyFont="1" applyFill="1"/>
    <xf numFmtId="0" fontId="95" fillId="40" borderId="0" xfId="121" applyFont="1" applyFill="1" applyBorder="1"/>
    <xf numFmtId="0" fontId="95" fillId="40" borderId="0" xfId="121" applyFont="1" applyFill="1" applyBorder="1" applyAlignment="1">
      <alignment horizontal="right"/>
    </xf>
    <xf numFmtId="9" fontId="103" fillId="40" borderId="0" xfId="121" applyNumberFormat="1" applyFont="1" applyFill="1" applyBorder="1" applyAlignment="1">
      <alignment horizontal="left"/>
    </xf>
    <xf numFmtId="190" fontId="104" fillId="36" borderId="0" xfId="606" applyNumberFormat="1" applyFont="1" applyFill="1"/>
    <xf numFmtId="9" fontId="104" fillId="40" borderId="0" xfId="121" applyNumberFormat="1" applyFont="1" applyFill="1"/>
    <xf numFmtId="0" fontId="95" fillId="40" borderId="0" xfId="121" applyFont="1" applyFill="1" applyBorder="1" applyAlignment="1">
      <alignment horizontal="left"/>
    </xf>
    <xf numFmtId="190" fontId="104" fillId="36" borderId="0" xfId="606" applyNumberFormat="1" applyFont="1" applyFill="1" applyBorder="1"/>
    <xf numFmtId="9" fontId="95" fillId="0" borderId="0" xfId="607" applyFont="1" applyFill="1" applyBorder="1" applyAlignment="1" applyProtection="1">
      <alignment horizontal="left"/>
      <protection locked="0"/>
    </xf>
    <xf numFmtId="9" fontId="105" fillId="0" borderId="0" xfId="607" applyFont="1" applyFill="1" applyBorder="1" applyAlignment="1" applyProtection="1">
      <alignment horizontal="center"/>
      <protection locked="0"/>
    </xf>
    <xf numFmtId="0" fontId="95" fillId="0" borderId="0" xfId="121" applyFont="1" applyFill="1" applyBorder="1"/>
    <xf numFmtId="190" fontId="104" fillId="0" borderId="0" xfId="606" applyNumberFormat="1" applyFont="1" applyFill="1" applyBorder="1"/>
    <xf numFmtId="0" fontId="95" fillId="0" borderId="0" xfId="121" applyFont="1"/>
    <xf numFmtId="0" fontId="106" fillId="40" borderId="0" xfId="121" applyFont="1" applyFill="1" applyBorder="1" applyAlignment="1">
      <alignment horizontal="left"/>
    </xf>
    <xf numFmtId="0" fontId="107" fillId="40" borderId="0" xfId="121" applyFont="1" applyFill="1" applyBorder="1"/>
    <xf numFmtId="0" fontId="107" fillId="40" borderId="0" xfId="121" applyFont="1" applyFill="1" applyBorder="1" applyAlignment="1">
      <alignment horizontal="right"/>
    </xf>
    <xf numFmtId="9" fontId="107" fillId="40" borderId="0" xfId="121" applyNumberFormat="1" applyFont="1" applyFill="1" applyBorder="1" applyAlignment="1">
      <alignment horizontal="left"/>
    </xf>
    <xf numFmtId="0" fontId="107" fillId="40" borderId="0" xfId="121" applyFont="1" applyFill="1"/>
    <xf numFmtId="9" fontId="43" fillId="0" borderId="0" xfId="607" applyFont="1" applyFill="1" applyBorder="1" applyAlignment="1" applyProtection="1">
      <alignment horizontal="left"/>
      <protection locked="0"/>
    </xf>
    <xf numFmtId="9" fontId="108" fillId="0" borderId="0" xfId="607" applyFont="1" applyFill="1" applyBorder="1" applyAlignment="1" applyProtection="1">
      <alignment horizontal="center"/>
      <protection locked="0"/>
    </xf>
    <xf numFmtId="0" fontId="10" fillId="0" borderId="0" xfId="121" applyFont="1" applyFill="1" applyBorder="1"/>
    <xf numFmtId="190" fontId="99" fillId="0" borderId="0" xfId="606" applyNumberFormat="1" applyFont="1" applyFill="1" applyBorder="1"/>
    <xf numFmtId="0" fontId="43" fillId="0" borderId="0" xfId="121" applyFont="1" applyFill="1" applyBorder="1"/>
    <xf numFmtId="9" fontId="109" fillId="0" borderId="0" xfId="607" applyFont="1" applyFill="1" applyBorder="1" applyAlignment="1" applyProtection="1">
      <alignment horizontal="left"/>
      <protection locked="0"/>
    </xf>
    <xf numFmtId="9" fontId="43" fillId="0" borderId="79" xfId="607" applyFont="1" applyFill="1" applyBorder="1" applyAlignment="1" applyProtection="1">
      <alignment horizontal="left"/>
      <protection locked="0"/>
    </xf>
    <xf numFmtId="9" fontId="110" fillId="0" borderId="79" xfId="607" applyFont="1" applyFill="1" applyBorder="1" applyAlignment="1" applyProtection="1">
      <alignment horizontal="center"/>
      <protection locked="0"/>
    </xf>
    <xf numFmtId="0" fontId="43" fillId="44" borderId="79" xfId="121" applyFont="1" applyFill="1" applyBorder="1" applyAlignment="1">
      <alignment horizontal="right"/>
    </xf>
    <xf numFmtId="191" fontId="43" fillId="45" borderId="79" xfId="121" applyNumberFormat="1" applyFont="1" applyFill="1" applyBorder="1"/>
    <xf numFmtId="190" fontId="43" fillId="45" borderId="79" xfId="121" applyNumberFormat="1" applyFont="1" applyFill="1" applyBorder="1"/>
    <xf numFmtId="0" fontId="10" fillId="0" borderId="0" xfId="121" applyFont="1" applyFill="1"/>
    <xf numFmtId="0" fontId="43" fillId="0" borderId="79" xfId="121" applyFont="1" applyBorder="1" applyAlignment="1">
      <alignment horizontal="left"/>
    </xf>
    <xf numFmtId="177" fontId="102" fillId="0" borderId="80" xfId="121" applyNumberFormat="1" applyFont="1" applyBorder="1" applyAlignment="1">
      <alignment horizontal="center"/>
    </xf>
    <xf numFmtId="0" fontId="43" fillId="0" borderId="79" xfId="121" applyFont="1" applyBorder="1" applyAlignment="1">
      <alignment horizontal="right"/>
    </xf>
    <xf numFmtId="191" fontId="43" fillId="45" borderId="81" xfId="121" applyNumberFormat="1" applyFont="1" applyFill="1" applyBorder="1"/>
    <xf numFmtId="9" fontId="10" fillId="0" borderId="0" xfId="348" applyFont="1"/>
    <xf numFmtId="0" fontId="111" fillId="0" borderId="0" xfId="121" applyFont="1"/>
    <xf numFmtId="9" fontId="10" fillId="0" borderId="0" xfId="348" applyFont="1" applyBorder="1"/>
    <xf numFmtId="0" fontId="100" fillId="0" borderId="0" xfId="121" applyFont="1"/>
    <xf numFmtId="0" fontId="43" fillId="0" borderId="0" xfId="121" applyFont="1" applyBorder="1"/>
    <xf numFmtId="0" fontId="43" fillId="0" borderId="82" xfId="121" applyFont="1" applyFill="1" applyBorder="1" applyAlignment="1">
      <alignment horizontal="center"/>
    </xf>
    <xf numFmtId="0" fontId="43" fillId="0" borderId="83" xfId="121" applyFont="1" applyBorder="1" applyAlignment="1">
      <alignment horizontal="center"/>
    </xf>
    <xf numFmtId="0" fontId="10" fillId="0" borderId="0" xfId="121" applyFont="1" applyBorder="1"/>
    <xf numFmtId="0" fontId="43" fillId="0" borderId="82" xfId="121" applyFont="1" applyBorder="1" applyAlignment="1">
      <alignment horizontal="center"/>
    </xf>
    <xf numFmtId="0" fontId="43" fillId="0" borderId="80" xfId="121" applyFont="1" applyBorder="1"/>
    <xf numFmtId="0" fontId="43" fillId="0" borderId="84" xfId="121" applyFont="1" applyBorder="1"/>
    <xf numFmtId="190" fontId="43" fillId="45" borderId="79" xfId="606" applyNumberFormat="1" applyFont="1" applyFill="1" applyBorder="1" applyAlignment="1">
      <alignment horizontal="center"/>
    </xf>
    <xf numFmtId="0" fontId="43" fillId="0" borderId="81" xfId="121" applyFont="1" applyBorder="1"/>
    <xf numFmtId="190" fontId="43" fillId="45" borderId="79" xfId="606" applyNumberFormat="1" applyFont="1" applyFill="1" applyBorder="1"/>
    <xf numFmtId="0" fontId="95" fillId="6" borderId="80" xfId="121" applyFont="1" applyFill="1" applyBorder="1"/>
    <xf numFmtId="0" fontId="95" fillId="6" borderId="84" xfId="121" applyFont="1" applyFill="1" applyBorder="1"/>
    <xf numFmtId="0" fontId="95" fillId="6" borderId="81" xfId="121" applyFont="1" applyFill="1" applyBorder="1"/>
    <xf numFmtId="190" fontId="95" fillId="45" borderId="79" xfId="606" applyNumberFormat="1" applyFont="1" applyFill="1" applyBorder="1"/>
    <xf numFmtId="0" fontId="109" fillId="0" borderId="0" xfId="121" applyFont="1"/>
    <xf numFmtId="0" fontId="112" fillId="0" borderId="0" xfId="121" applyFont="1"/>
    <xf numFmtId="0" fontId="106" fillId="0" borderId="0" xfId="121" applyFont="1"/>
    <xf numFmtId="0" fontId="109" fillId="0" borderId="0" xfId="121" applyFont="1" applyAlignment="1">
      <alignment horizontal="right"/>
    </xf>
    <xf numFmtId="0" fontId="113" fillId="0" borderId="0" xfId="121" applyFont="1" applyAlignment="1">
      <alignment vertical="center"/>
    </xf>
    <xf numFmtId="0" fontId="114" fillId="46" borderId="79" xfId="121" applyFont="1" applyFill="1" applyBorder="1" applyAlignment="1">
      <alignment horizontal="left" vertical="center" wrapText="1"/>
    </xf>
    <xf numFmtId="0" fontId="114" fillId="46" borderId="81" xfId="121" applyFont="1" applyFill="1" applyBorder="1" applyAlignment="1">
      <alignment horizontal="center" vertical="center" wrapText="1"/>
    </xf>
    <xf numFmtId="0" fontId="115" fillId="3" borderId="79" xfId="121" applyFont="1" applyFill="1" applyBorder="1" applyAlignment="1">
      <alignment vertical="center"/>
    </xf>
    <xf numFmtId="0" fontId="116" fillId="0" borderId="56" xfId="121" applyFont="1" applyBorder="1" applyAlignment="1">
      <alignment horizontal="left" vertical="center" wrapText="1"/>
    </xf>
    <xf numFmtId="9" fontId="117" fillId="5" borderId="30" xfId="607" applyFont="1" applyFill="1" applyBorder="1" applyAlignment="1">
      <alignment horizontal="right" vertical="center" wrapText="1"/>
    </xf>
    <xf numFmtId="190" fontId="116" fillId="5" borderId="79" xfId="121" applyNumberFormat="1" applyFont="1" applyFill="1" applyBorder="1" applyAlignment="1">
      <alignment vertical="center"/>
    </xf>
    <xf numFmtId="9" fontId="116" fillId="5" borderId="30" xfId="607" applyFont="1" applyFill="1" applyBorder="1" applyAlignment="1">
      <alignment horizontal="right" vertical="center" wrapText="1"/>
    </xf>
    <xf numFmtId="0" fontId="118" fillId="46" borderId="56" xfId="121" applyFont="1" applyFill="1" applyBorder="1" applyAlignment="1">
      <alignment horizontal="left" vertical="center" wrapText="1"/>
    </xf>
    <xf numFmtId="9" fontId="118" fillId="2" borderId="30" xfId="607" applyFont="1" applyFill="1" applyBorder="1" applyAlignment="1">
      <alignment horizontal="right" vertical="center" wrapText="1"/>
    </xf>
    <xf numFmtId="190" fontId="118" fillId="5" borderId="79" xfId="121" applyNumberFormat="1" applyFont="1" applyFill="1" applyBorder="1" applyAlignment="1">
      <alignment vertical="center"/>
    </xf>
    <xf numFmtId="0" fontId="115" fillId="0" borderId="0" xfId="121" applyFont="1" applyAlignment="1">
      <alignment horizontal="left" vertical="center"/>
    </xf>
    <xf numFmtId="190" fontId="113" fillId="0" borderId="0" xfId="121" applyNumberFormat="1" applyFont="1" applyAlignment="1">
      <alignment vertical="center"/>
    </xf>
    <xf numFmtId="0" fontId="109" fillId="0" borderId="0" xfId="121" applyFont="1" applyAlignment="1">
      <alignment horizontal="left" vertical="center"/>
    </xf>
    <xf numFmtId="0" fontId="114" fillId="46" borderId="79" xfId="121" applyFont="1" applyFill="1" applyBorder="1" applyAlignment="1">
      <alignment horizontal="center" vertical="center" wrapText="1"/>
    </xf>
    <xf numFmtId="190" fontId="116" fillId="0" borderId="8" xfId="606" applyNumberFormat="1" applyFont="1" applyBorder="1" applyAlignment="1">
      <alignment horizontal="justify" vertical="top" wrapText="1"/>
    </xf>
    <xf numFmtId="9" fontId="116" fillId="0" borderId="6" xfId="121" applyNumberFormat="1" applyFont="1" applyBorder="1" applyAlignment="1">
      <alignment horizontal="right" vertical="top" wrapText="1"/>
    </xf>
    <xf numFmtId="190" fontId="116" fillId="0" borderId="85" xfId="606" applyNumberFormat="1" applyFont="1" applyBorder="1" applyAlignment="1">
      <alignment horizontal="justify" vertical="top" wrapText="1"/>
    </xf>
    <xf numFmtId="9" fontId="116" fillId="0" borderId="42" xfId="121" applyNumberFormat="1" applyFont="1" applyBorder="1" applyAlignment="1">
      <alignment horizontal="right" vertical="top" wrapText="1"/>
    </xf>
    <xf numFmtId="0" fontId="119" fillId="47" borderId="56" xfId="121" applyFont="1" applyFill="1" applyBorder="1" applyAlignment="1">
      <alignment horizontal="left" vertical="center" wrapText="1"/>
    </xf>
    <xf numFmtId="190" fontId="119" fillId="47" borderId="30" xfId="606" applyNumberFormat="1" applyFont="1" applyFill="1" applyBorder="1" applyAlignment="1">
      <alignment horizontal="right" vertical="center" wrapText="1"/>
    </xf>
    <xf numFmtId="9" fontId="119" fillId="0" borderId="30" xfId="121" applyNumberFormat="1" applyFont="1" applyBorder="1" applyAlignment="1">
      <alignment horizontal="right" vertical="center" wrapText="1"/>
    </xf>
    <xf numFmtId="0" fontId="113" fillId="0" borderId="0" xfId="121" applyFont="1" applyAlignment="1">
      <alignment horizontal="left" vertical="center"/>
    </xf>
    <xf numFmtId="0" fontId="120" fillId="0" borderId="0" xfId="121" applyFont="1" applyAlignment="1">
      <alignment vertical="center"/>
    </xf>
    <xf numFmtId="0" fontId="115" fillId="0" borderId="0" xfId="121" applyFont="1" applyAlignment="1">
      <alignment vertical="center"/>
    </xf>
    <xf numFmtId="0" fontId="115" fillId="0" borderId="0" xfId="121" applyFont="1"/>
    <xf numFmtId="0" fontId="115" fillId="0" borderId="79" xfId="121" applyNumberFormat="1" applyFont="1" applyBorder="1" applyAlignment="1">
      <alignment horizontal="left" vertical="center" wrapText="1"/>
    </xf>
    <xf numFmtId="3" fontId="115" fillId="5" borderId="79" xfId="121" applyNumberFormat="1" applyFont="1" applyFill="1" applyBorder="1" applyAlignment="1">
      <alignment horizontal="right" vertical="center" wrapText="1"/>
    </xf>
    <xf numFmtId="0" fontId="115" fillId="0" borderId="79" xfId="121" applyFont="1" applyBorder="1" applyAlignment="1">
      <alignment horizontal="left" vertical="center" wrapText="1"/>
    </xf>
    <xf numFmtId="9" fontId="115" fillId="5" borderId="79" xfId="121" applyNumberFormat="1" applyFont="1" applyFill="1" applyBorder="1" applyAlignment="1">
      <alignment vertical="center"/>
    </xf>
    <xf numFmtId="0" fontId="115" fillId="40" borderId="0" xfId="121" applyFont="1" applyFill="1" applyBorder="1" applyAlignment="1">
      <alignment vertical="center"/>
    </xf>
    <xf numFmtId="0" fontId="115" fillId="40" borderId="0" xfId="121" applyFont="1" applyFill="1" applyBorder="1" applyAlignment="1">
      <alignment horizontal="left" vertical="center" wrapText="1"/>
    </xf>
    <xf numFmtId="9" fontId="115" fillId="40" borderId="0" xfId="121" applyNumberFormat="1" applyFont="1" applyFill="1" applyBorder="1" applyAlignment="1">
      <alignment vertical="center"/>
    </xf>
    <xf numFmtId="0" fontId="111" fillId="40" borderId="0" xfId="121" applyFont="1" applyFill="1" applyBorder="1"/>
    <xf numFmtId="0" fontId="115" fillId="40" borderId="0" xfId="121" applyFont="1" applyFill="1" applyBorder="1"/>
    <xf numFmtId="0" fontId="106" fillId="40" borderId="0" xfId="121" applyFont="1" applyFill="1" applyBorder="1" applyAlignment="1">
      <alignment horizontal="left" vertical="center" wrapText="1"/>
    </xf>
    <xf numFmtId="0" fontId="94" fillId="6" borderId="79" xfId="121" applyFont="1" applyFill="1" applyBorder="1" applyAlignment="1">
      <alignment horizontal="left" vertical="center" wrapText="1"/>
    </xf>
    <xf numFmtId="3" fontId="94" fillId="6" borderId="79" xfId="121" applyNumberFormat="1" applyFont="1" applyFill="1" applyBorder="1" applyAlignment="1">
      <alignment horizontal="right" vertical="center" wrapText="1"/>
    </xf>
    <xf numFmtId="0" fontId="121" fillId="0" borderId="0" xfId="121" applyFont="1" applyAlignment="1">
      <alignment vertical="center"/>
    </xf>
    <xf numFmtId="0" fontId="94" fillId="6" borderId="79" xfId="121" applyFont="1" applyFill="1" applyBorder="1" applyAlignment="1">
      <alignment horizontal="left" vertical="center"/>
    </xf>
    <xf numFmtId="3" fontId="94" fillId="6" borderId="79" xfId="121" applyNumberFormat="1" applyFont="1" applyFill="1" applyBorder="1" applyAlignment="1">
      <alignment vertical="center"/>
    </xf>
    <xf numFmtId="0" fontId="115" fillId="0" borderId="0" xfId="121" applyFont="1" applyBorder="1" applyAlignment="1">
      <alignment horizontal="left" vertical="center" wrapText="1"/>
    </xf>
    <xf numFmtId="3" fontId="115" fillId="40" borderId="0" xfId="121" applyNumberFormat="1" applyFont="1" applyFill="1" applyBorder="1" applyAlignment="1">
      <alignment horizontal="right" vertical="center" wrapText="1"/>
    </xf>
    <xf numFmtId="0" fontId="122" fillId="0" borderId="0" xfId="121" applyFont="1" applyAlignment="1">
      <alignment horizontal="left" vertical="center"/>
    </xf>
    <xf numFmtId="0" fontId="123" fillId="46" borderId="79" xfId="121" applyFont="1" applyFill="1" applyBorder="1" applyAlignment="1">
      <alignment horizontal="left" vertical="center" wrapText="1"/>
    </xf>
    <xf numFmtId="0" fontId="124" fillId="46" borderId="81" xfId="121" applyFont="1" applyFill="1" applyBorder="1" applyAlignment="1">
      <alignment horizontal="center" vertical="center" wrapText="1"/>
    </xf>
    <xf numFmtId="0" fontId="115" fillId="0" borderId="56" xfId="121" applyFont="1" applyBorder="1" applyAlignment="1">
      <alignment horizontal="left" vertical="center" wrapText="1"/>
    </xf>
    <xf numFmtId="3" fontId="115" fillId="6" borderId="30" xfId="121" applyNumberFormat="1" applyFont="1" applyFill="1" applyBorder="1" applyAlignment="1">
      <alignment horizontal="right" vertical="center" wrapText="1"/>
    </xf>
    <xf numFmtId="9" fontId="115" fillId="6" borderId="30" xfId="121" applyNumberFormat="1" applyFont="1" applyFill="1" applyBorder="1" applyAlignment="1">
      <alignment horizontal="right" vertical="center" wrapText="1"/>
    </xf>
    <xf numFmtId="10" fontId="115" fillId="6" borderId="30" xfId="121" applyNumberFormat="1" applyFont="1" applyFill="1" applyBorder="1" applyAlignment="1">
      <alignment horizontal="right" vertical="center" wrapText="1"/>
    </xf>
    <xf numFmtId="0" fontId="114" fillId="46" borderId="56" xfId="121" applyFont="1" applyFill="1" applyBorder="1" applyAlignment="1">
      <alignment horizontal="left" vertical="center" wrapText="1"/>
    </xf>
    <xf numFmtId="3" fontId="114" fillId="46" borderId="30" xfId="121" applyNumberFormat="1" applyFont="1" applyFill="1" applyBorder="1" applyAlignment="1">
      <alignment horizontal="right" vertical="center" wrapText="1"/>
    </xf>
    <xf numFmtId="9" fontId="114" fillId="46" borderId="30" xfId="121" applyNumberFormat="1" applyFont="1" applyFill="1" applyBorder="1" applyAlignment="1">
      <alignment horizontal="right" vertical="center" wrapText="1"/>
    </xf>
    <xf numFmtId="0" fontId="115" fillId="0" borderId="78" xfId="121" applyFont="1" applyBorder="1" applyAlignment="1">
      <alignment horizontal="right" vertical="center" wrapText="1"/>
    </xf>
    <xf numFmtId="10" fontId="124" fillId="46" borderId="30" xfId="121" applyNumberFormat="1" applyFont="1" applyFill="1" applyBorder="1" applyAlignment="1">
      <alignment horizontal="right" vertical="center" wrapText="1"/>
    </xf>
    <xf numFmtId="177" fontId="113" fillId="0" borderId="0" xfId="348" applyNumberFormat="1" applyFont="1" applyAlignment="1">
      <alignment vertical="center"/>
    </xf>
    <xf numFmtId="0" fontId="125" fillId="0" borderId="0" xfId="121" applyFont="1"/>
    <xf numFmtId="0" fontId="126" fillId="0" borderId="0" xfId="121" applyFont="1"/>
    <xf numFmtId="0" fontId="114" fillId="46" borderId="30" xfId="121" applyFont="1" applyFill="1" applyBorder="1" applyAlignment="1">
      <alignment horizontal="center" vertical="center" wrapText="1"/>
    </xf>
    <xf numFmtId="0" fontId="114" fillId="46" borderId="88" xfId="121" applyFont="1" applyFill="1" applyBorder="1" applyAlignment="1">
      <alignment horizontal="center" vertical="center" wrapText="1"/>
    </xf>
    <xf numFmtId="0" fontId="115" fillId="0" borderId="87" xfId="121" applyFont="1" applyBorder="1" applyAlignment="1">
      <alignment horizontal="left" vertical="center" wrapText="1"/>
    </xf>
    <xf numFmtId="192" fontId="115" fillId="0" borderId="30" xfId="121" applyNumberFormat="1" applyFont="1" applyFill="1" applyBorder="1" applyAlignment="1">
      <alignment vertical="center" wrapText="1"/>
    </xf>
    <xf numFmtId="192" fontId="115" fillId="6" borderId="30" xfId="121" applyNumberFormat="1" applyFont="1" applyFill="1" applyBorder="1" applyAlignment="1">
      <alignment vertical="center" wrapText="1"/>
    </xf>
    <xf numFmtId="192" fontId="115" fillId="6" borderId="75" xfId="121" applyNumberFormat="1" applyFont="1" applyFill="1" applyBorder="1" applyAlignment="1">
      <alignment vertical="center" wrapText="1"/>
    </xf>
    <xf numFmtId="0" fontId="115" fillId="0" borderId="87" xfId="121" applyFont="1" applyBorder="1" applyAlignment="1">
      <alignment horizontal="left" vertical="center" wrapText="1" indent="1"/>
    </xf>
    <xf numFmtId="0" fontId="115" fillId="46" borderId="87" xfId="121" applyFont="1" applyFill="1" applyBorder="1" applyAlignment="1">
      <alignment horizontal="left" vertical="center" wrapText="1"/>
    </xf>
    <xf numFmtId="192" fontId="115" fillId="46" borderId="30" xfId="121" applyNumberFormat="1" applyFont="1" applyFill="1" applyBorder="1" applyAlignment="1">
      <alignment vertical="center" wrapText="1"/>
    </xf>
    <xf numFmtId="0" fontId="114" fillId="46" borderId="87" xfId="121" applyFont="1" applyFill="1" applyBorder="1" applyAlignment="1">
      <alignment horizontal="left" vertical="center" wrapText="1"/>
    </xf>
    <xf numFmtId="192" fontId="114" fillId="46" borderId="30" xfId="121" applyNumberFormat="1" applyFont="1" applyFill="1" applyBorder="1" applyAlignment="1">
      <alignment vertical="center" wrapText="1"/>
    </xf>
    <xf numFmtId="192" fontId="114" fillId="6" borderId="30" xfId="121" applyNumberFormat="1" applyFont="1" applyFill="1" applyBorder="1" applyAlignment="1">
      <alignment vertical="center" wrapText="1"/>
    </xf>
    <xf numFmtId="192" fontId="114" fillId="6" borderId="75" xfId="121" applyNumberFormat="1" applyFont="1" applyFill="1" applyBorder="1" applyAlignment="1">
      <alignment vertical="center" wrapText="1"/>
    </xf>
    <xf numFmtId="192" fontId="115" fillId="6" borderId="79" xfId="121" applyNumberFormat="1" applyFont="1" applyFill="1" applyBorder="1" applyAlignment="1">
      <alignment vertical="center"/>
    </xf>
    <xf numFmtId="192" fontId="115" fillId="6" borderId="89" xfId="121" applyNumberFormat="1" applyFont="1" applyFill="1" applyBorder="1" applyAlignment="1">
      <alignment vertical="center"/>
    </xf>
    <xf numFmtId="192" fontId="114" fillId="6" borderId="79" xfId="121" applyNumberFormat="1" applyFont="1" applyFill="1" applyBorder="1" applyAlignment="1">
      <alignment vertical="center" wrapText="1"/>
    </xf>
    <xf numFmtId="192" fontId="115" fillId="6" borderId="79" xfId="121" applyNumberFormat="1" applyFont="1" applyFill="1" applyBorder="1" applyAlignment="1">
      <alignment vertical="center" wrapText="1"/>
    </xf>
    <xf numFmtId="192" fontId="115" fillId="6" borderId="89" xfId="121" applyNumberFormat="1" applyFont="1" applyFill="1" applyBorder="1" applyAlignment="1">
      <alignment vertical="center" wrapText="1"/>
    </xf>
    <xf numFmtId="0" fontId="114" fillId="46" borderId="52" xfId="121" applyFont="1" applyFill="1" applyBorder="1" applyAlignment="1">
      <alignment horizontal="left" vertical="center" wrapText="1"/>
    </xf>
    <xf numFmtId="192" fontId="114" fillId="6" borderId="50" xfId="121" applyNumberFormat="1" applyFont="1" applyFill="1" applyBorder="1" applyAlignment="1">
      <alignment vertical="center" wrapText="1"/>
    </xf>
    <xf numFmtId="192" fontId="115" fillId="6" borderId="50" xfId="121" applyNumberFormat="1" applyFont="1" applyFill="1" applyBorder="1" applyAlignment="1">
      <alignment vertical="center" wrapText="1"/>
    </xf>
    <xf numFmtId="192" fontId="115" fillId="6" borderId="51" xfId="121" applyNumberFormat="1" applyFont="1" applyFill="1" applyBorder="1" applyAlignment="1">
      <alignment vertical="center" wrapText="1"/>
    </xf>
    <xf numFmtId="0" fontId="113" fillId="40" borderId="0" xfId="121" applyFont="1" applyFill="1" applyBorder="1" applyAlignment="1">
      <alignment vertical="center"/>
    </xf>
    <xf numFmtId="0" fontId="114" fillId="40" borderId="0" xfId="121" applyFont="1" applyFill="1" applyBorder="1" applyAlignment="1">
      <alignment horizontal="left" vertical="center" wrapText="1"/>
    </xf>
    <xf numFmtId="192" fontId="114" fillId="40" borderId="0" xfId="121" applyNumberFormat="1" applyFont="1" applyFill="1" applyBorder="1" applyAlignment="1">
      <alignment vertical="center" wrapText="1"/>
    </xf>
    <xf numFmtId="192" fontId="115" fillId="40" borderId="0" xfId="121" applyNumberFormat="1" applyFont="1" applyFill="1" applyBorder="1" applyAlignment="1">
      <alignment vertical="center" wrapText="1"/>
    </xf>
    <xf numFmtId="0" fontId="114" fillId="6" borderId="24" xfId="121" applyFont="1" applyFill="1" applyBorder="1" applyAlignment="1">
      <alignment horizontal="right" vertical="center" wrapText="1"/>
    </xf>
    <xf numFmtId="167" fontId="114" fillId="6" borderId="86" xfId="606" applyFont="1" applyFill="1" applyBorder="1" applyAlignment="1">
      <alignment vertical="center" wrapText="1"/>
    </xf>
    <xf numFmtId="192" fontId="115" fillId="0" borderId="0" xfId="121" applyNumberFormat="1" applyFont="1" applyFill="1" applyBorder="1" applyAlignment="1">
      <alignment vertical="center" wrapText="1"/>
    </xf>
    <xf numFmtId="0" fontId="114" fillId="6" borderId="87" xfId="121" applyFont="1" applyFill="1" applyBorder="1" applyAlignment="1">
      <alignment horizontal="right" vertical="center" wrapText="1"/>
    </xf>
    <xf numFmtId="10" fontId="115" fillId="0" borderId="0" xfId="607" applyNumberFormat="1" applyFont="1" applyAlignment="1">
      <alignment vertical="center"/>
    </xf>
    <xf numFmtId="0" fontId="115" fillId="0" borderId="0" xfId="121" applyFont="1" applyAlignment="1">
      <alignment vertical="center" wrapText="1"/>
    </xf>
    <xf numFmtId="0" fontId="114" fillId="6" borderId="52" xfId="121" applyFont="1" applyFill="1" applyBorder="1" applyAlignment="1">
      <alignment horizontal="right" vertical="center" wrapText="1"/>
    </xf>
    <xf numFmtId="10" fontId="115" fillId="6" borderId="42" xfId="121" applyNumberFormat="1" applyFont="1" applyFill="1" applyBorder="1" applyAlignment="1">
      <alignment vertical="center" wrapText="1"/>
    </xf>
    <xf numFmtId="10" fontId="115" fillId="0" borderId="0" xfId="121" applyNumberFormat="1" applyFont="1" applyAlignment="1">
      <alignment vertical="center"/>
    </xf>
    <xf numFmtId="0" fontId="114" fillId="40" borderId="0" xfId="121" applyFont="1" applyFill="1" applyBorder="1" applyAlignment="1">
      <alignment horizontal="right" vertical="center" wrapText="1"/>
    </xf>
    <xf numFmtId="10" fontId="115" fillId="40" borderId="0" xfId="121" applyNumberFormat="1" applyFont="1" applyFill="1" applyBorder="1" applyAlignment="1">
      <alignment vertical="center" wrapText="1"/>
    </xf>
    <xf numFmtId="0" fontId="112" fillId="40" borderId="0" xfId="121" applyFont="1" applyFill="1"/>
    <xf numFmtId="0" fontId="95" fillId="0" borderId="0" xfId="121" applyFont="1" applyAlignment="1">
      <alignment horizontal="right"/>
    </xf>
    <xf numFmtId="0" fontId="43" fillId="0" borderId="0" xfId="121" applyFont="1" applyAlignment="1">
      <alignment horizontal="right"/>
    </xf>
    <xf numFmtId="0" fontId="10" fillId="0" borderId="0" xfId="121" applyFont="1" applyAlignment="1">
      <alignment horizontal="right"/>
    </xf>
    <xf numFmtId="0" fontId="128" fillId="0" borderId="0" xfId="92" applyFont="1" applyAlignment="1">
      <alignment vertical="center"/>
    </xf>
    <xf numFmtId="0" fontId="17" fillId="0" borderId="0" xfId="92" applyFont="1" applyAlignment="1">
      <alignment horizontal="left" vertical="center"/>
    </xf>
    <xf numFmtId="0" fontId="17" fillId="0" borderId="0" xfId="92" applyFont="1" applyAlignment="1">
      <alignment vertical="center"/>
    </xf>
    <xf numFmtId="0" fontId="124" fillId="46" borderId="79" xfId="92" applyFont="1" applyFill="1" applyBorder="1" applyAlignment="1">
      <alignment horizontal="left" vertical="center" wrapText="1"/>
    </xf>
    <xf numFmtId="0" fontId="124" fillId="46" borderId="81" xfId="92" applyFont="1" applyFill="1" applyBorder="1" applyAlignment="1">
      <alignment horizontal="center" vertical="center" wrapText="1"/>
    </xf>
    <xf numFmtId="0" fontId="17" fillId="0" borderId="56" xfId="92" applyFont="1" applyBorder="1" applyAlignment="1">
      <alignment horizontal="left" vertical="center" wrapText="1"/>
    </xf>
    <xf numFmtId="3" fontId="17" fillId="39" borderId="30" xfId="92" applyNumberFormat="1" applyFont="1" applyFill="1" applyBorder="1" applyAlignment="1">
      <alignment horizontal="right" vertical="center" wrapText="1"/>
    </xf>
    <xf numFmtId="0" fontId="124" fillId="46" borderId="56" xfId="92" applyFont="1" applyFill="1" applyBorder="1" applyAlignment="1">
      <alignment horizontal="left" vertical="center" wrapText="1"/>
    </xf>
    <xf numFmtId="3" fontId="124" fillId="46" borderId="30" xfId="92" applyNumberFormat="1" applyFont="1" applyFill="1" applyBorder="1" applyAlignment="1">
      <alignment horizontal="right" vertical="center" wrapText="1"/>
    </xf>
    <xf numFmtId="0" fontId="124" fillId="46" borderId="79" xfId="92" applyFont="1" applyFill="1" applyBorder="1" applyAlignment="1">
      <alignment horizontal="center" vertical="center" wrapText="1"/>
    </xf>
    <xf numFmtId="3" fontId="129" fillId="0" borderId="8" xfId="92" applyNumberFormat="1" applyFont="1" applyBorder="1" applyAlignment="1">
      <alignment horizontal="right" vertical="top" wrapText="1"/>
    </xf>
    <xf numFmtId="9" fontId="129" fillId="0" borderId="6" xfId="92" applyNumberFormat="1" applyFont="1" applyBorder="1" applyAlignment="1">
      <alignment horizontal="right" vertical="top" wrapText="1"/>
    </xf>
    <xf numFmtId="3" fontId="129" fillId="0" borderId="85" xfId="92" applyNumberFormat="1" applyFont="1" applyBorder="1" applyAlignment="1">
      <alignment horizontal="right" vertical="top" wrapText="1"/>
    </xf>
    <xf numFmtId="9" fontId="129" fillId="0" borderId="42" xfId="92" applyNumberFormat="1" applyFont="1" applyBorder="1" applyAlignment="1">
      <alignment horizontal="right" vertical="top" wrapText="1"/>
    </xf>
    <xf numFmtId="0" fontId="124" fillId="47" borderId="56" xfId="92" applyFont="1" applyFill="1" applyBorder="1" applyAlignment="1">
      <alignment horizontal="left" vertical="center" wrapText="1"/>
    </xf>
    <xf numFmtId="3" fontId="124" fillId="47" borderId="30" xfId="92" applyNumberFormat="1" applyFont="1" applyFill="1" applyBorder="1" applyAlignment="1">
      <alignment horizontal="right" vertical="center" wrapText="1"/>
    </xf>
    <xf numFmtId="9" fontId="124" fillId="0" borderId="30" xfId="92" applyNumberFormat="1" applyFont="1" applyBorder="1" applyAlignment="1">
      <alignment horizontal="right" vertical="center" wrapText="1"/>
    </xf>
    <xf numFmtId="0" fontId="130" fillId="0" borderId="0" xfId="92" applyFont="1" applyAlignment="1">
      <alignment vertical="center"/>
    </xf>
    <xf numFmtId="0" fontId="17" fillId="0" borderId="56" xfId="92" applyNumberFormat="1" applyFont="1" applyBorder="1" applyAlignment="1">
      <alignment horizontal="left" vertical="center" wrapText="1"/>
    </xf>
    <xf numFmtId="3" fontId="17" fillId="0" borderId="79" xfId="92" applyNumberFormat="1" applyFont="1" applyBorder="1" applyAlignment="1">
      <alignment vertical="center"/>
    </xf>
    <xf numFmtId="10" fontId="17" fillId="0" borderId="0" xfId="546" applyNumberFormat="1" applyFont="1" applyAlignment="1">
      <alignment vertical="center"/>
    </xf>
    <xf numFmtId="3" fontId="17" fillId="0" borderId="30" xfId="92" applyNumberFormat="1" applyFont="1" applyBorder="1" applyAlignment="1">
      <alignment horizontal="right" vertical="center" wrapText="1"/>
    </xf>
    <xf numFmtId="0" fontId="17" fillId="0" borderId="56" xfId="92" applyFont="1" applyBorder="1" applyAlignment="1">
      <alignment horizontal="left" vertical="center" wrapText="1" indent="1"/>
    </xf>
    <xf numFmtId="4" fontId="17" fillId="39" borderId="30" xfId="92" applyNumberFormat="1" applyFont="1" applyFill="1" applyBorder="1" applyAlignment="1">
      <alignment horizontal="right" vertical="center" wrapText="1"/>
    </xf>
    <xf numFmtId="3" fontId="17" fillId="0" borderId="0" xfId="92" applyNumberFormat="1" applyFont="1" applyAlignment="1">
      <alignment vertical="center"/>
    </xf>
    <xf numFmtId="0" fontId="128" fillId="0" borderId="0" xfId="92" applyFont="1" applyAlignment="1">
      <alignment horizontal="left" vertical="center"/>
    </xf>
    <xf numFmtId="9" fontId="17" fillId="0" borderId="30" xfId="92" applyNumberFormat="1" applyFont="1" applyFill="1" applyBorder="1" applyAlignment="1">
      <alignment horizontal="right" vertical="center" wrapText="1"/>
    </xf>
    <xf numFmtId="9" fontId="17" fillId="39" borderId="30" xfId="92" applyNumberFormat="1" applyFont="1" applyFill="1" applyBorder="1" applyAlignment="1">
      <alignment horizontal="right" vertical="center" wrapText="1"/>
    </xf>
    <xf numFmtId="10" fontId="17" fillId="39" borderId="30" xfId="92" applyNumberFormat="1" applyFont="1" applyFill="1" applyBorder="1" applyAlignment="1">
      <alignment horizontal="right" vertical="center" wrapText="1"/>
    </xf>
    <xf numFmtId="9" fontId="124" fillId="46" borderId="30" xfId="92" applyNumberFormat="1" applyFont="1" applyFill="1" applyBorder="1" applyAlignment="1">
      <alignment horizontal="right" vertical="center" wrapText="1"/>
    </xf>
    <xf numFmtId="0" fontId="17" fillId="0" borderId="78" xfId="92" applyFont="1" applyBorder="1" applyAlignment="1">
      <alignment horizontal="right" vertical="center" wrapText="1"/>
    </xf>
    <xf numFmtId="10" fontId="124" fillId="46" borderId="30" xfId="92" applyNumberFormat="1" applyFont="1" applyFill="1" applyBorder="1" applyAlignment="1">
      <alignment horizontal="right" vertical="center" wrapText="1"/>
    </xf>
    <xf numFmtId="0" fontId="124" fillId="46" borderId="30" xfId="92" applyFont="1" applyFill="1" applyBorder="1" applyAlignment="1">
      <alignment horizontal="center" vertical="center"/>
    </xf>
    <xf numFmtId="0" fontId="124" fillId="46" borderId="81" xfId="92" applyFont="1" applyFill="1" applyBorder="1" applyAlignment="1">
      <alignment horizontal="center" vertical="center"/>
    </xf>
    <xf numFmtId="0" fontId="17" fillId="0" borderId="56" xfId="92" applyFont="1" applyBorder="1" applyAlignment="1">
      <alignment horizontal="left" vertical="center"/>
    </xf>
    <xf numFmtId="3" fontId="9" fillId="39" borderId="30" xfId="92" applyNumberFormat="1" applyFont="1" applyFill="1" applyBorder="1" applyAlignment="1">
      <alignment vertical="center"/>
    </xf>
    <xf numFmtId="0" fontId="131" fillId="0" borderId="0" xfId="92" applyFont="1"/>
    <xf numFmtId="0" fontId="124" fillId="46" borderId="30" xfId="92" applyFont="1" applyFill="1" applyBorder="1" applyAlignment="1">
      <alignment horizontal="center" vertical="center" wrapText="1"/>
    </xf>
    <xf numFmtId="192" fontId="17" fillId="0" borderId="30" xfId="92" applyNumberFormat="1" applyFont="1" applyFill="1" applyBorder="1" applyAlignment="1">
      <alignment vertical="center" wrapText="1"/>
    </xf>
    <xf numFmtId="192" fontId="17" fillId="39" borderId="30" xfId="92" applyNumberFormat="1" applyFont="1" applyFill="1" applyBorder="1" applyAlignment="1">
      <alignment vertical="center" wrapText="1"/>
    </xf>
    <xf numFmtId="0" fontId="17" fillId="46" borderId="56" xfId="92" applyFont="1" applyFill="1" applyBorder="1" applyAlignment="1">
      <alignment horizontal="left" vertical="center" wrapText="1"/>
    </xf>
    <xf numFmtId="192" fontId="17" fillId="46" borderId="30" xfId="92" applyNumberFormat="1" applyFont="1" applyFill="1" applyBorder="1" applyAlignment="1">
      <alignment vertical="center" wrapText="1"/>
    </xf>
    <xf numFmtId="192" fontId="124" fillId="46" borderId="30" xfId="92" applyNumberFormat="1" applyFont="1" applyFill="1" applyBorder="1" applyAlignment="1">
      <alignment vertical="center" wrapText="1"/>
    </xf>
    <xf numFmtId="0" fontId="17" fillId="0" borderId="79" xfId="92" applyFont="1" applyBorder="1" applyAlignment="1">
      <alignment vertical="center"/>
    </xf>
    <xf numFmtId="0" fontId="124" fillId="0" borderId="56" xfId="92" applyFont="1" applyBorder="1" applyAlignment="1">
      <alignment horizontal="left" vertical="center" wrapText="1"/>
    </xf>
    <xf numFmtId="0" fontId="17" fillId="0" borderId="0" xfId="92" applyFont="1" applyAlignment="1">
      <alignment vertical="center" wrapText="1"/>
    </xf>
    <xf numFmtId="177" fontId="17" fillId="39" borderId="30" xfId="92" applyNumberFormat="1" applyFont="1" applyFill="1" applyBorder="1" applyAlignment="1">
      <alignment vertical="center" wrapText="1"/>
    </xf>
    <xf numFmtId="193" fontId="17" fillId="39" borderId="30" xfId="92" applyNumberFormat="1" applyFont="1" applyFill="1" applyBorder="1" applyAlignment="1">
      <alignment vertical="center" wrapText="1"/>
    </xf>
    <xf numFmtId="0" fontId="10" fillId="0" borderId="79" xfId="92" applyBorder="1" applyAlignment="1">
      <alignment horizontal="center" vertical="center"/>
    </xf>
    <xf numFmtId="0" fontId="10" fillId="0" borderId="79" xfId="92" applyBorder="1"/>
    <xf numFmtId="190" fontId="0" fillId="0" borderId="79" xfId="338" applyNumberFormat="1" applyFont="1" applyBorder="1"/>
    <xf numFmtId="0" fontId="9" fillId="0" borderId="79" xfId="92" applyFont="1" applyBorder="1"/>
    <xf numFmtId="190" fontId="42" fillId="0" borderId="79" xfId="338" applyNumberFormat="1" applyFont="1" applyBorder="1"/>
    <xf numFmtId="0" fontId="10" fillId="0" borderId="79" xfId="92" applyFont="1" applyBorder="1"/>
    <xf numFmtId="190" fontId="3" fillId="0" borderId="79" xfId="338" applyNumberFormat="1" applyFont="1" applyBorder="1"/>
    <xf numFmtId="9" fontId="0" fillId="0" borderId="79" xfId="608" applyFont="1" applyBorder="1" applyAlignment="1">
      <alignment horizontal="center" vertical="center"/>
    </xf>
    <xf numFmtId="10" fontId="42" fillId="0" borderId="79" xfId="608" applyNumberFormat="1" applyFont="1" applyBorder="1" applyAlignment="1">
      <alignment horizontal="center"/>
    </xf>
    <xf numFmtId="0" fontId="10" fillId="0" borderId="79" xfId="92" applyBorder="1" applyAlignment="1">
      <alignment horizontal="center"/>
    </xf>
    <xf numFmtId="9" fontId="10" fillId="0" borderId="79" xfId="92" applyNumberFormat="1" applyBorder="1" applyAlignment="1">
      <alignment horizontal="center"/>
    </xf>
    <xf numFmtId="177" fontId="10" fillId="0" borderId="0" xfId="348" applyNumberFormat="1" applyFont="1"/>
    <xf numFmtId="190" fontId="0" fillId="0" borderId="0" xfId="338" applyNumberFormat="1" applyFont="1" applyBorder="1"/>
    <xf numFmtId="190" fontId="0" fillId="0" borderId="0" xfId="338" applyNumberFormat="1" applyFont="1"/>
    <xf numFmtId="0" fontId="132" fillId="0" borderId="0" xfId="92" applyFont="1"/>
    <xf numFmtId="49" fontId="42" fillId="0" borderId="79" xfId="338" applyNumberFormat="1" applyFont="1" applyBorder="1" applyAlignment="1">
      <alignment horizontal="center"/>
    </xf>
    <xf numFmtId="0" fontId="9" fillId="0" borderId="79" xfId="92" applyFont="1" applyBorder="1" applyAlignment="1">
      <alignment horizontal="center"/>
    </xf>
    <xf numFmtId="190" fontId="10" fillId="0" borderId="79" xfId="92" applyNumberFormat="1" applyBorder="1"/>
    <xf numFmtId="190" fontId="9" fillId="0" borderId="79" xfId="92" applyNumberFormat="1" applyFont="1" applyBorder="1"/>
    <xf numFmtId="190" fontId="10" fillId="0" borderId="0" xfId="92" applyNumberFormat="1" applyBorder="1"/>
    <xf numFmtId="0" fontId="9" fillId="0" borderId="0" xfId="92" applyFont="1" applyBorder="1"/>
    <xf numFmtId="0" fontId="124" fillId="46" borderId="79" xfId="92" applyFont="1" applyFill="1" applyBorder="1" applyAlignment="1">
      <alignment horizontal="center" vertical="center"/>
    </xf>
    <xf numFmtId="0" fontId="17" fillId="0" borderId="0" xfId="92" applyFont="1" applyBorder="1" applyAlignment="1">
      <alignment horizontal="left" vertical="center"/>
    </xf>
    <xf numFmtId="3" fontId="9" fillId="0" borderId="0" xfId="92" applyNumberFormat="1" applyFont="1" applyFill="1" applyBorder="1" applyAlignment="1">
      <alignment vertical="center"/>
    </xf>
    <xf numFmtId="9" fontId="9" fillId="0" borderId="0" xfId="348" applyFont="1" applyFill="1" applyBorder="1" applyAlignment="1">
      <alignment vertical="center"/>
    </xf>
    <xf numFmtId="9" fontId="10" fillId="0" borderId="0" xfId="348" applyNumberFormat="1" applyFont="1"/>
    <xf numFmtId="183" fontId="10" fillId="0" borderId="0" xfId="92" applyNumberFormat="1"/>
    <xf numFmtId="0" fontId="17" fillId="0" borderId="0" xfId="92" applyFont="1" applyFill="1" applyBorder="1" applyAlignment="1">
      <alignment horizontal="left" vertical="center"/>
    </xf>
    <xf numFmtId="0" fontId="10" fillId="0" borderId="24" xfId="92" applyBorder="1" applyAlignment="1">
      <alignment horizontal="right"/>
    </xf>
    <xf numFmtId="190" fontId="0" fillId="0" borderId="43" xfId="338" applyNumberFormat="1" applyFont="1" applyBorder="1"/>
    <xf numFmtId="0" fontId="10" fillId="0" borderId="43" xfId="92" applyBorder="1" applyAlignment="1">
      <alignment horizontal="center"/>
    </xf>
    <xf numFmtId="0" fontId="10" fillId="0" borderId="12" xfId="92" applyBorder="1" applyAlignment="1">
      <alignment horizontal="center"/>
    </xf>
    <xf numFmtId="0" fontId="10" fillId="0" borderId="49" xfId="92" applyBorder="1"/>
    <xf numFmtId="0" fontId="10" fillId="0" borderId="50" xfId="92" applyBorder="1"/>
    <xf numFmtId="9" fontId="10" fillId="0" borderId="50" xfId="92" applyNumberFormat="1" applyBorder="1"/>
    <xf numFmtId="9" fontId="10" fillId="0" borderId="51" xfId="92" applyNumberFormat="1" applyBorder="1"/>
    <xf numFmtId="49" fontId="0" fillId="0" borderId="43" xfId="338" applyNumberFormat="1" applyFont="1" applyBorder="1" applyAlignment="1">
      <alignment horizontal="center"/>
    </xf>
    <xf numFmtId="0" fontId="10" fillId="0" borderId="45" xfId="92" applyBorder="1"/>
    <xf numFmtId="190" fontId="10" fillId="0" borderId="89" xfId="92" applyNumberFormat="1" applyBorder="1"/>
    <xf numFmtId="0" fontId="9" fillId="0" borderId="45" xfId="92" applyFont="1" applyBorder="1"/>
    <xf numFmtId="190" fontId="9" fillId="0" borderId="89" xfId="92" applyNumberFormat="1" applyFont="1" applyBorder="1"/>
    <xf numFmtId="0" fontId="9" fillId="0" borderId="49" xfId="92" applyFont="1" applyBorder="1"/>
    <xf numFmtId="190" fontId="9" fillId="0" borderId="50" xfId="92" applyNumberFormat="1" applyFont="1" applyBorder="1"/>
    <xf numFmtId="190" fontId="9" fillId="0" borderId="51" xfId="92" applyNumberFormat="1" applyFont="1" applyBorder="1"/>
    <xf numFmtId="38" fontId="0" fillId="0" borderId="79" xfId="338" applyNumberFormat="1" applyFont="1" applyBorder="1"/>
    <xf numFmtId="38" fontId="0" fillId="0" borderId="89" xfId="338" applyNumberFormat="1" applyFont="1" applyBorder="1"/>
    <xf numFmtId="38" fontId="0" fillId="0" borderId="50" xfId="338" applyNumberFormat="1" applyFont="1" applyBorder="1"/>
    <xf numFmtId="38" fontId="10" fillId="0" borderId="50" xfId="92" applyNumberFormat="1" applyBorder="1" applyAlignment="1">
      <alignment horizontal="center"/>
    </xf>
    <xf numFmtId="38" fontId="10" fillId="0" borderId="51" xfId="92" applyNumberFormat="1" applyBorder="1" applyAlignment="1">
      <alignment horizontal="center"/>
    </xf>
    <xf numFmtId="38" fontId="10" fillId="0" borderId="43" xfId="92" applyNumberFormat="1" applyBorder="1"/>
    <xf numFmtId="9" fontId="0" fillId="0" borderId="12" xfId="608" applyFont="1" applyBorder="1"/>
    <xf numFmtId="0" fontId="10" fillId="0" borderId="45" xfId="92" applyBorder="1" applyAlignment="1">
      <alignment horizontal="right"/>
    </xf>
    <xf numFmtId="9" fontId="10" fillId="0" borderId="79" xfId="92" applyNumberFormat="1" applyBorder="1"/>
    <xf numFmtId="9" fontId="10" fillId="0" borderId="89" xfId="92" applyNumberFormat="1" applyBorder="1"/>
    <xf numFmtId="0" fontId="10" fillId="0" borderId="49" xfId="92" applyBorder="1" applyAlignment="1">
      <alignment horizontal="right"/>
    </xf>
    <xf numFmtId="167" fontId="10" fillId="0" borderId="50" xfId="92" applyNumberFormat="1" applyBorder="1"/>
    <xf numFmtId="167" fontId="10" fillId="0" borderId="51" xfId="92" applyNumberFormat="1" applyBorder="1"/>
    <xf numFmtId="0" fontId="20" fillId="0" borderId="0" xfId="92" applyFont="1"/>
    <xf numFmtId="0" fontId="133" fillId="0" borderId="0" xfId="92" applyFont="1"/>
    <xf numFmtId="0" fontId="11" fillId="0" borderId="0" xfId="92" applyFont="1"/>
    <xf numFmtId="0" fontId="20" fillId="0" borderId="24" xfId="92" applyFont="1" applyBorder="1"/>
    <xf numFmtId="190" fontId="20" fillId="0" borderId="12" xfId="338" applyNumberFormat="1" applyFont="1" applyBorder="1"/>
    <xf numFmtId="0" fontId="20" fillId="0" borderId="24" xfId="92" applyFont="1" applyBorder="1" applyAlignment="1">
      <alignment horizontal="right"/>
    </xf>
    <xf numFmtId="0" fontId="20" fillId="0" borderId="43" xfId="92" applyFont="1" applyBorder="1"/>
    <xf numFmtId="0" fontId="20" fillId="0" borderId="12" xfId="92" applyFont="1" applyBorder="1"/>
    <xf numFmtId="0" fontId="20" fillId="0" borderId="45" xfId="92" applyFont="1" applyBorder="1"/>
    <xf numFmtId="190" fontId="20" fillId="0" borderId="89" xfId="338" applyNumberFormat="1" applyFont="1" applyBorder="1"/>
    <xf numFmtId="194" fontId="20" fillId="0" borderId="79" xfId="92" applyNumberFormat="1" applyFont="1" applyFill="1" applyBorder="1"/>
    <xf numFmtId="194" fontId="20" fillId="0" borderId="89" xfId="92" applyNumberFormat="1" applyFont="1" applyFill="1" applyBorder="1"/>
    <xf numFmtId="0" fontId="20" fillId="0" borderId="49" xfId="92" applyFont="1" applyBorder="1"/>
    <xf numFmtId="190" fontId="20" fillId="0" borderId="51" xfId="92" applyNumberFormat="1" applyFont="1" applyBorder="1"/>
    <xf numFmtId="194" fontId="20" fillId="0" borderId="79" xfId="92" applyNumberFormat="1" applyFont="1" applyBorder="1"/>
    <xf numFmtId="194" fontId="20" fillId="0" borderId="89" xfId="92" applyNumberFormat="1" applyFont="1" applyBorder="1"/>
    <xf numFmtId="0" fontId="20" fillId="0" borderId="0" xfId="92" applyFont="1" applyBorder="1"/>
    <xf numFmtId="167" fontId="20" fillId="0" borderId="0" xfId="92" applyNumberFormat="1" applyFont="1" applyBorder="1"/>
    <xf numFmtId="0" fontId="20" fillId="2" borderId="45" xfId="92" applyFont="1" applyFill="1" applyBorder="1"/>
    <xf numFmtId="194" fontId="20" fillId="2" borderId="79" xfId="92" applyNumberFormat="1" applyFont="1" applyFill="1" applyBorder="1"/>
    <xf numFmtId="194" fontId="20" fillId="2" borderId="89" xfId="92" applyNumberFormat="1" applyFont="1" applyFill="1" applyBorder="1"/>
    <xf numFmtId="190" fontId="20" fillId="0" borderId="0" xfId="92" applyNumberFormat="1" applyFont="1" applyBorder="1"/>
    <xf numFmtId="0" fontId="75" fillId="0" borderId="0" xfId="92" applyFont="1"/>
    <xf numFmtId="190" fontId="20" fillId="36" borderId="12" xfId="338" applyNumberFormat="1" applyFont="1" applyFill="1" applyBorder="1"/>
    <xf numFmtId="9" fontId="20" fillId="0" borderId="0" xfId="92" applyNumberFormat="1" applyFont="1"/>
    <xf numFmtId="190" fontId="20" fillId="0" borderId="0" xfId="338" applyNumberFormat="1" applyFont="1"/>
    <xf numFmtId="194" fontId="20" fillId="0" borderId="50" xfId="92" applyNumberFormat="1" applyFont="1" applyFill="1" applyBorder="1"/>
    <xf numFmtId="194" fontId="20" fillId="0" borderId="51" xfId="92" applyNumberFormat="1" applyFont="1" applyFill="1" applyBorder="1"/>
    <xf numFmtId="9" fontId="20" fillId="0" borderId="0" xfId="608" applyFont="1"/>
    <xf numFmtId="9" fontId="20" fillId="0" borderId="89" xfId="92" applyNumberFormat="1" applyFont="1" applyBorder="1"/>
    <xf numFmtId="190" fontId="20" fillId="0" borderId="51" xfId="338" applyNumberFormat="1" applyFont="1" applyBorder="1"/>
    <xf numFmtId="0" fontId="134" fillId="0" borderId="0" xfId="92" applyFont="1"/>
    <xf numFmtId="0" fontId="133" fillId="0" borderId="0" xfId="92" applyFont="1" applyAlignment="1">
      <alignment horizontal="right"/>
    </xf>
    <xf numFmtId="194" fontId="133" fillId="0" borderId="0" xfId="92" applyNumberFormat="1" applyFont="1" applyAlignment="1"/>
    <xf numFmtId="9" fontId="133" fillId="0" borderId="0" xfId="92" applyNumberFormat="1" applyFont="1" applyAlignment="1"/>
    <xf numFmtId="10" fontId="75" fillId="0" borderId="0" xfId="92" applyNumberFormat="1" applyFont="1"/>
    <xf numFmtId="195" fontId="133" fillId="0" borderId="0" xfId="92" applyNumberFormat="1" applyFont="1" applyAlignment="1"/>
    <xf numFmtId="0" fontId="135" fillId="48" borderId="0" xfId="92" applyFont="1" applyFill="1"/>
    <xf numFmtId="0" fontId="136" fillId="48" borderId="0" xfId="92" applyFont="1" applyFill="1" applyAlignment="1">
      <alignment horizontal="right"/>
    </xf>
    <xf numFmtId="195" fontId="136" fillId="48" borderId="0" xfId="92" applyNumberFormat="1" applyFont="1" applyFill="1" applyAlignment="1"/>
    <xf numFmtId="0" fontId="137" fillId="49" borderId="79" xfId="92" applyFont="1" applyFill="1" applyBorder="1" applyAlignment="1">
      <alignment horizontal="right"/>
    </xf>
    <xf numFmtId="0" fontId="138" fillId="49" borderId="79" xfId="92" applyFont="1" applyFill="1" applyBorder="1"/>
    <xf numFmtId="0" fontId="138" fillId="40" borderId="0" xfId="92" applyFont="1" applyFill="1"/>
    <xf numFmtId="195" fontId="138" fillId="49" borderId="79" xfId="92" applyNumberFormat="1" applyFont="1" applyFill="1" applyBorder="1" applyAlignment="1">
      <alignment horizontal="left"/>
    </xf>
    <xf numFmtId="190" fontId="138" fillId="49" borderId="79" xfId="338" applyNumberFormat="1" applyFont="1" applyFill="1" applyBorder="1"/>
    <xf numFmtId="190" fontId="138" fillId="40" borderId="0" xfId="338" applyNumberFormat="1" applyFont="1" applyFill="1"/>
    <xf numFmtId="0" fontId="138" fillId="49" borderId="79" xfId="92" applyFont="1" applyFill="1" applyBorder="1" applyAlignment="1">
      <alignment horizontal="left"/>
    </xf>
    <xf numFmtId="190" fontId="138" fillId="49" borderId="79" xfId="338" applyNumberFormat="1" applyFont="1" applyFill="1" applyBorder="1" applyAlignment="1"/>
    <xf numFmtId="190" fontId="138" fillId="49" borderId="79" xfId="92" applyNumberFormat="1" applyFont="1" applyFill="1" applyBorder="1"/>
    <xf numFmtId="177" fontId="20" fillId="0" borderId="0" xfId="608" applyNumberFormat="1" applyFont="1"/>
    <xf numFmtId="0" fontId="20" fillId="40" borderId="45" xfId="92" applyFont="1" applyFill="1" applyBorder="1"/>
    <xf numFmtId="194" fontId="20" fillId="40" borderId="79" xfId="92" applyNumberFormat="1" applyFont="1" applyFill="1" applyBorder="1"/>
    <xf numFmtId="194" fontId="20" fillId="40" borderId="89" xfId="92" applyNumberFormat="1" applyFont="1" applyFill="1" applyBorder="1"/>
    <xf numFmtId="0" fontId="20" fillId="0" borderId="41" xfId="92" applyFont="1" applyBorder="1"/>
    <xf numFmtId="168" fontId="34" fillId="4" borderId="5" xfId="0" applyNumberFormat="1" applyFont="1" applyFill="1" applyBorder="1" applyAlignment="1">
      <alignment horizontal="right" vertical="center" wrapText="1"/>
    </xf>
    <xf numFmtId="0" fontId="10" fillId="4" borderId="47" xfId="92" applyFill="1" applyBorder="1" applyAlignment="1">
      <alignment horizontal="center" vertical="center"/>
    </xf>
    <xf numFmtId="0" fontId="10" fillId="4" borderId="44" xfId="92" applyFont="1" applyFill="1" applyBorder="1" applyAlignment="1">
      <alignment horizontal="center" vertical="center"/>
    </xf>
    <xf numFmtId="0" fontId="10" fillId="4" borderId="48" xfId="92" applyFont="1" applyFill="1" applyBorder="1" applyAlignment="1">
      <alignment horizontal="center" vertical="center"/>
    </xf>
    <xf numFmtId="0" fontId="10" fillId="4" borderId="29" xfId="92" applyFont="1" applyFill="1" applyBorder="1" applyAlignment="1">
      <alignment horizontal="center" vertical="center"/>
    </xf>
    <xf numFmtId="0" fontId="10" fillId="4" borderId="31" xfId="92" applyFont="1" applyFill="1" applyBorder="1" applyAlignment="1">
      <alignment horizontal="center" vertical="center"/>
    </xf>
    <xf numFmtId="0" fontId="10" fillId="4" borderId="30" xfId="92" applyFont="1" applyFill="1" applyBorder="1" applyAlignment="1">
      <alignment horizontal="center" vertical="center"/>
    </xf>
    <xf numFmtId="0" fontId="10" fillId="32" borderId="47" xfId="92" applyFill="1" applyBorder="1" applyAlignment="1">
      <alignment horizontal="center" vertical="center"/>
    </xf>
    <xf numFmtId="0" fontId="10" fillId="32" borderId="44" xfId="92" applyFont="1" applyFill="1" applyBorder="1" applyAlignment="1">
      <alignment horizontal="center" vertical="center"/>
    </xf>
    <xf numFmtId="0" fontId="10" fillId="32" borderId="48" xfId="92" applyFont="1" applyFill="1" applyBorder="1" applyAlignment="1">
      <alignment horizontal="center" vertical="center"/>
    </xf>
    <xf numFmtId="0" fontId="10" fillId="32" borderId="29" xfId="92" applyFont="1" applyFill="1" applyBorder="1" applyAlignment="1">
      <alignment horizontal="center" vertical="center"/>
    </xf>
    <xf numFmtId="0" fontId="10" fillId="32" borderId="31" xfId="92" applyFont="1" applyFill="1" applyBorder="1" applyAlignment="1">
      <alignment horizontal="center" vertical="center"/>
    </xf>
    <xf numFmtId="0" fontId="10" fillId="32" borderId="30" xfId="92" applyFont="1" applyFill="1" applyBorder="1" applyAlignment="1">
      <alignment horizontal="center" vertical="center"/>
    </xf>
    <xf numFmtId="0" fontId="43" fillId="4" borderId="47" xfId="92" applyFont="1" applyFill="1" applyBorder="1" applyAlignment="1">
      <alignment horizontal="center" vertical="center"/>
    </xf>
    <xf numFmtId="0" fontId="43" fillId="4" borderId="44" xfId="92" applyFont="1" applyFill="1" applyBorder="1" applyAlignment="1">
      <alignment horizontal="center" vertical="center"/>
    </xf>
    <xf numFmtId="0" fontId="43" fillId="4" borderId="48" xfId="92" applyFont="1" applyFill="1" applyBorder="1" applyAlignment="1">
      <alignment horizontal="center" vertical="center"/>
    </xf>
    <xf numFmtId="0" fontId="43" fillId="4" borderId="29" xfId="92" applyFont="1" applyFill="1" applyBorder="1" applyAlignment="1">
      <alignment horizontal="center" vertical="center"/>
    </xf>
    <xf numFmtId="0" fontId="43" fillId="4" borderId="31" xfId="92" applyFont="1" applyFill="1" applyBorder="1" applyAlignment="1">
      <alignment horizontal="center" vertical="center"/>
    </xf>
    <xf numFmtId="0" fontId="43" fillId="4" borderId="30" xfId="92" applyFont="1" applyFill="1" applyBorder="1" applyAlignment="1">
      <alignment horizontal="center" vertical="center"/>
    </xf>
    <xf numFmtId="0" fontId="10" fillId="42" borderId="47" xfId="92" applyFill="1" applyBorder="1" applyAlignment="1">
      <alignment horizontal="center" vertical="center" wrapText="1"/>
    </xf>
    <xf numFmtId="0" fontId="10" fillId="42" borderId="44" xfId="92" applyFill="1" applyBorder="1" applyAlignment="1">
      <alignment horizontal="center" vertical="center" wrapText="1"/>
    </xf>
    <xf numFmtId="0" fontId="10" fillId="42" borderId="48" xfId="92" applyFill="1" applyBorder="1" applyAlignment="1">
      <alignment horizontal="center" vertical="center" wrapText="1"/>
    </xf>
    <xf numFmtId="0" fontId="10" fillId="42" borderId="29" xfId="92" applyFill="1" applyBorder="1" applyAlignment="1">
      <alignment horizontal="center" vertical="center" wrapText="1"/>
    </xf>
    <xf numFmtId="0" fontId="10" fillId="42" borderId="31" xfId="92" applyFill="1" applyBorder="1" applyAlignment="1">
      <alignment horizontal="center" vertical="center" wrapText="1"/>
    </xf>
    <xf numFmtId="0" fontId="10" fillId="42" borderId="30" xfId="92" applyFill="1" applyBorder="1" applyAlignment="1">
      <alignment horizontal="center" vertical="center" wrapText="1"/>
    </xf>
    <xf numFmtId="0" fontId="10" fillId="43" borderId="47" xfId="92" applyFill="1" applyBorder="1" applyAlignment="1">
      <alignment horizontal="center" vertical="center"/>
    </xf>
    <xf numFmtId="0" fontId="10" fillId="43" borderId="44" xfId="92" applyFont="1" applyFill="1" applyBorder="1" applyAlignment="1">
      <alignment horizontal="center" vertical="center"/>
    </xf>
    <xf numFmtId="0" fontId="10" fillId="43" borderId="48" xfId="92" applyFont="1" applyFill="1" applyBorder="1" applyAlignment="1">
      <alignment horizontal="center" vertical="center"/>
    </xf>
    <xf numFmtId="0" fontId="10" fillId="43" borderId="29" xfId="92" applyFont="1" applyFill="1" applyBorder="1" applyAlignment="1">
      <alignment horizontal="center" vertical="center"/>
    </xf>
    <xf numFmtId="0" fontId="10" fillId="43" borderId="31" xfId="92" applyFont="1" applyFill="1" applyBorder="1" applyAlignment="1">
      <alignment horizontal="center" vertical="center"/>
    </xf>
    <xf numFmtId="0" fontId="10" fillId="43" borderId="30" xfId="92" applyFont="1" applyFill="1" applyBorder="1" applyAlignment="1">
      <alignment horizontal="center" vertical="center"/>
    </xf>
    <xf numFmtId="0" fontId="10" fillId="32" borderId="44" xfId="92" applyFill="1" applyBorder="1" applyAlignment="1">
      <alignment horizontal="center" vertical="center"/>
    </xf>
    <xf numFmtId="0" fontId="10" fillId="32" borderId="48" xfId="92" applyFill="1" applyBorder="1" applyAlignment="1">
      <alignment horizontal="center" vertical="center"/>
    </xf>
    <xf numFmtId="0" fontId="10" fillId="32" borderId="29" xfId="92" applyFill="1" applyBorder="1" applyAlignment="1">
      <alignment horizontal="center" vertical="center"/>
    </xf>
    <xf numFmtId="0" fontId="10" fillId="32" borderId="31" xfId="92" applyFill="1" applyBorder="1" applyAlignment="1">
      <alignment horizontal="center" vertical="center"/>
    </xf>
    <xf numFmtId="0" fontId="10" fillId="32" borderId="30" xfId="92" applyFill="1" applyBorder="1" applyAlignment="1">
      <alignment horizontal="center" vertical="center"/>
    </xf>
    <xf numFmtId="0" fontId="10" fillId="4" borderId="44" xfId="92" applyFill="1" applyBorder="1" applyAlignment="1">
      <alignment horizontal="center" vertical="center"/>
    </xf>
    <xf numFmtId="0" fontId="10" fillId="4" borderId="48" xfId="92" applyFill="1" applyBorder="1" applyAlignment="1">
      <alignment horizontal="center" vertical="center"/>
    </xf>
    <xf numFmtId="0" fontId="10" fillId="4" borderId="29" xfId="92" applyFill="1" applyBorder="1" applyAlignment="1">
      <alignment horizontal="center" vertical="center"/>
    </xf>
    <xf numFmtId="0" fontId="10" fillId="4" borderId="31" xfId="92" applyFill="1" applyBorder="1" applyAlignment="1">
      <alignment horizontal="center" vertical="center"/>
    </xf>
    <xf numFmtId="0" fontId="10" fillId="4" borderId="30" xfId="92" applyFill="1" applyBorder="1" applyAlignment="1">
      <alignment horizontal="center" vertical="center"/>
    </xf>
    <xf numFmtId="0" fontId="10" fillId="32" borderId="47" xfId="92" applyFill="1" applyBorder="1" applyAlignment="1">
      <alignment horizontal="center" vertical="center" wrapText="1"/>
    </xf>
    <xf numFmtId="0" fontId="10" fillId="32" borderId="44" xfId="92" applyFont="1" applyFill="1" applyBorder="1" applyAlignment="1">
      <alignment horizontal="center" vertical="center" wrapText="1"/>
    </xf>
    <xf numFmtId="0" fontId="10" fillId="32" borderId="48" xfId="92" applyFont="1" applyFill="1" applyBorder="1" applyAlignment="1">
      <alignment horizontal="center" vertical="center" wrapText="1"/>
    </xf>
    <xf numFmtId="0" fontId="10" fillId="32" borderId="29" xfId="92" applyFont="1" applyFill="1" applyBorder="1" applyAlignment="1">
      <alignment horizontal="center" vertical="center" wrapText="1"/>
    </xf>
    <xf numFmtId="0" fontId="10" fillId="32" borderId="31" xfId="92" applyFont="1" applyFill="1" applyBorder="1" applyAlignment="1">
      <alignment horizontal="center" vertical="center" wrapText="1"/>
    </xf>
    <xf numFmtId="0" fontId="10" fillId="32" borderId="30" xfId="92" applyFont="1" applyFill="1" applyBorder="1" applyAlignment="1">
      <alignment horizontal="center" vertical="center" wrapText="1"/>
    </xf>
    <xf numFmtId="0" fontId="10" fillId="42" borderId="47" xfId="92" applyFill="1" applyBorder="1" applyAlignment="1">
      <alignment horizontal="center" vertical="center"/>
    </xf>
    <xf numFmtId="0" fontId="10" fillId="42" borderId="44" xfId="92" applyFont="1" applyFill="1" applyBorder="1" applyAlignment="1">
      <alignment horizontal="center" vertical="center"/>
    </xf>
    <xf numFmtId="0" fontId="10" fillId="42" borderId="48" xfId="92" applyFont="1" applyFill="1" applyBorder="1" applyAlignment="1">
      <alignment horizontal="center" vertical="center"/>
    </xf>
    <xf numFmtId="0" fontId="10" fillId="42" borderId="29" xfId="92" applyFont="1" applyFill="1" applyBorder="1" applyAlignment="1">
      <alignment horizontal="center" vertical="center"/>
    </xf>
    <xf numFmtId="0" fontId="10" fillId="42" borderId="31" xfId="92" applyFont="1" applyFill="1" applyBorder="1" applyAlignment="1">
      <alignment horizontal="center" vertical="center"/>
    </xf>
    <xf numFmtId="0" fontId="10" fillId="42" borderId="30" xfId="92" applyFont="1" applyFill="1" applyBorder="1" applyAlignment="1">
      <alignment horizontal="center" vertical="center"/>
    </xf>
    <xf numFmtId="0" fontId="9" fillId="0" borderId="0" xfId="92" applyFont="1" applyFill="1" applyAlignment="1">
      <alignment horizontal="center"/>
    </xf>
    <xf numFmtId="0" fontId="94" fillId="42" borderId="47" xfId="92" applyFont="1" applyFill="1" applyBorder="1" applyAlignment="1">
      <alignment horizontal="center" vertical="center"/>
    </xf>
    <xf numFmtId="0" fontId="94" fillId="42" borderId="44" xfId="92" applyFont="1" applyFill="1" applyBorder="1" applyAlignment="1">
      <alignment horizontal="center" vertical="center"/>
    </xf>
    <xf numFmtId="0" fontId="94" fillId="42" borderId="48" xfId="92" applyFont="1" applyFill="1" applyBorder="1" applyAlignment="1">
      <alignment horizontal="center" vertical="center"/>
    </xf>
    <xf numFmtId="0" fontId="94" fillId="42" borderId="29" xfId="92" applyFont="1" applyFill="1" applyBorder="1" applyAlignment="1">
      <alignment horizontal="center" vertical="center"/>
    </xf>
    <xf numFmtId="0" fontId="94" fillId="42" borderId="31" xfId="92" applyFont="1" applyFill="1" applyBorder="1" applyAlignment="1">
      <alignment horizontal="center" vertical="center"/>
    </xf>
    <xf numFmtId="0" fontId="94" fillId="42" borderId="30" xfId="92" applyFont="1" applyFill="1" applyBorder="1" applyAlignment="1">
      <alignment horizontal="center" vertical="center"/>
    </xf>
    <xf numFmtId="0" fontId="94" fillId="4" borderId="47" xfId="92" applyFont="1" applyFill="1" applyBorder="1" applyAlignment="1">
      <alignment horizontal="center" vertical="center"/>
    </xf>
    <xf numFmtId="0" fontId="94" fillId="4" borderId="44" xfId="92" applyFont="1" applyFill="1" applyBorder="1" applyAlignment="1">
      <alignment horizontal="center" vertical="center"/>
    </xf>
    <xf numFmtId="0" fontId="94" fillId="4" borderId="48" xfId="92" applyFont="1" applyFill="1" applyBorder="1" applyAlignment="1">
      <alignment horizontal="center" vertical="center"/>
    </xf>
    <xf numFmtId="0" fontId="94" fillId="4" borderId="29" xfId="92" applyFont="1" applyFill="1" applyBorder="1" applyAlignment="1">
      <alignment horizontal="center" vertical="center"/>
    </xf>
    <xf numFmtId="0" fontId="94" fillId="4" borderId="31" xfId="92" applyFont="1" applyFill="1" applyBorder="1" applyAlignment="1">
      <alignment horizontal="center" vertical="center"/>
    </xf>
    <xf numFmtId="0" fontId="94" fillId="4" borderId="30" xfId="92" applyFont="1" applyFill="1" applyBorder="1" applyAlignment="1">
      <alignment horizontal="center" vertical="center"/>
    </xf>
    <xf numFmtId="0" fontId="93" fillId="0" borderId="0" xfId="92" applyFont="1" applyAlignment="1">
      <alignment horizontal="left" vertical="center" wrapText="1"/>
    </xf>
    <xf numFmtId="0" fontId="93" fillId="41" borderId="15" xfId="92" applyFont="1" applyFill="1" applyBorder="1" applyAlignment="1">
      <alignment horizontal="center" vertical="center"/>
    </xf>
    <xf numFmtId="0" fontId="93" fillId="41" borderId="19" xfId="92" applyFont="1" applyFill="1" applyBorder="1" applyAlignment="1">
      <alignment horizontal="center" vertical="center"/>
    </xf>
    <xf numFmtId="0" fontId="93" fillId="41" borderId="20" xfId="92" applyFont="1" applyFill="1" applyBorder="1" applyAlignment="1">
      <alignment horizontal="center" vertical="center"/>
    </xf>
    <xf numFmtId="0" fontId="93" fillId="41" borderId="41" xfId="92" applyFont="1" applyFill="1" applyBorder="1" applyAlignment="1">
      <alignment horizontal="center" vertical="center"/>
    </xf>
    <xf numFmtId="0" fontId="93" fillId="41" borderId="0" xfId="92" applyFont="1" applyFill="1" applyBorder="1" applyAlignment="1">
      <alignment horizontal="center" vertical="center"/>
    </xf>
    <xf numFmtId="0" fontId="93" fillId="41" borderId="46" xfId="92" applyFont="1" applyFill="1" applyBorder="1" applyAlignment="1">
      <alignment horizontal="center" vertical="center"/>
    </xf>
    <xf numFmtId="0" fontId="93" fillId="41" borderId="21" xfId="92" applyFont="1" applyFill="1" applyBorder="1" applyAlignment="1">
      <alignment horizontal="center" vertical="center"/>
    </xf>
    <xf numFmtId="0" fontId="93" fillId="41" borderId="53" xfId="92" applyFont="1" applyFill="1" applyBorder="1" applyAlignment="1">
      <alignment horizontal="center" vertical="center"/>
    </xf>
    <xf numFmtId="0" fontId="93" fillId="41" borderId="42" xfId="92" applyFont="1" applyFill="1" applyBorder="1" applyAlignment="1">
      <alignment horizontal="center" vertical="center"/>
    </xf>
    <xf numFmtId="0" fontId="94" fillId="33" borderId="15" xfId="92" applyFont="1" applyFill="1" applyBorder="1" applyAlignment="1">
      <alignment horizontal="center" vertical="center" wrapText="1"/>
    </xf>
    <xf numFmtId="0" fontId="94" fillId="33" borderId="19" xfId="92" applyFont="1" applyFill="1" applyBorder="1" applyAlignment="1">
      <alignment horizontal="center" vertical="center" wrapText="1"/>
    </xf>
    <xf numFmtId="0" fontId="94" fillId="33" borderId="20" xfId="92" applyFont="1" applyFill="1" applyBorder="1" applyAlignment="1">
      <alignment horizontal="center" vertical="center" wrapText="1"/>
    </xf>
    <xf numFmtId="0" fontId="94" fillId="33" borderId="41" xfId="92" applyFont="1" applyFill="1" applyBorder="1" applyAlignment="1">
      <alignment horizontal="center" vertical="center" wrapText="1"/>
    </xf>
    <xf numFmtId="0" fontId="94" fillId="33" borderId="0" xfId="92" applyFont="1" applyFill="1" applyBorder="1" applyAlignment="1">
      <alignment horizontal="center" vertical="center" wrapText="1"/>
    </xf>
    <xf numFmtId="0" fontId="94" fillId="33" borderId="46" xfId="92" applyFont="1" applyFill="1" applyBorder="1" applyAlignment="1">
      <alignment horizontal="center" vertical="center" wrapText="1"/>
    </xf>
    <xf numFmtId="0" fontId="94" fillId="33" borderId="21" xfId="92" applyFont="1" applyFill="1" applyBorder="1" applyAlignment="1">
      <alignment horizontal="center" vertical="center" wrapText="1"/>
    </xf>
    <xf numFmtId="0" fontId="94" fillId="33" borderId="53" xfId="92" applyFont="1" applyFill="1" applyBorder="1" applyAlignment="1">
      <alignment horizontal="center" vertical="center" wrapText="1"/>
    </xf>
    <xf numFmtId="0" fontId="94" fillId="33" borderId="42" xfId="92" applyFont="1" applyFill="1" applyBorder="1" applyAlignment="1">
      <alignment horizontal="center" vertical="center" wrapText="1"/>
    </xf>
    <xf numFmtId="0" fontId="93" fillId="0" borderId="0" xfId="92" applyFont="1" applyBorder="1" applyAlignment="1">
      <alignment horizontal="center"/>
    </xf>
    <xf numFmtId="0" fontId="94" fillId="4" borderId="15" xfId="92" applyFont="1" applyFill="1" applyBorder="1" applyAlignment="1">
      <alignment horizontal="center" vertical="center" wrapText="1"/>
    </xf>
    <xf numFmtId="0" fontId="94" fillId="4" borderId="19" xfId="92" applyFont="1" applyFill="1" applyBorder="1" applyAlignment="1">
      <alignment horizontal="center" vertical="center" wrapText="1"/>
    </xf>
    <xf numFmtId="0" fontId="94" fillId="4" borderId="20" xfId="92" applyFont="1" applyFill="1" applyBorder="1" applyAlignment="1">
      <alignment horizontal="center" vertical="center" wrapText="1"/>
    </xf>
    <xf numFmtId="0" fontId="94" fillId="4" borderId="41" xfId="92" applyFont="1" applyFill="1" applyBorder="1" applyAlignment="1">
      <alignment horizontal="center" vertical="center" wrapText="1"/>
    </xf>
    <xf numFmtId="0" fontId="94" fillId="4" borderId="0" xfId="92" applyFont="1" applyFill="1" applyBorder="1" applyAlignment="1">
      <alignment horizontal="center" vertical="center" wrapText="1"/>
    </xf>
    <xf numFmtId="0" fontId="94" fillId="4" borderId="46" xfId="92" applyFont="1" applyFill="1" applyBorder="1" applyAlignment="1">
      <alignment horizontal="center" vertical="center" wrapText="1"/>
    </xf>
    <xf numFmtId="0" fontId="94" fillId="4" borderId="21" xfId="92" applyFont="1" applyFill="1" applyBorder="1" applyAlignment="1">
      <alignment horizontal="center" vertical="center" wrapText="1"/>
    </xf>
    <xf numFmtId="0" fontId="94" fillId="4" borderId="53" xfId="92" applyFont="1" applyFill="1" applyBorder="1" applyAlignment="1">
      <alignment horizontal="center" vertical="center" wrapText="1"/>
    </xf>
    <xf numFmtId="0" fontId="94" fillId="4" borderId="42" xfId="92" applyFont="1" applyFill="1" applyBorder="1" applyAlignment="1">
      <alignment horizontal="center" vertical="center" wrapText="1"/>
    </xf>
    <xf numFmtId="0" fontId="94" fillId="33" borderId="76" xfId="92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3" fontId="28" fillId="2" borderId="4" xfId="38" applyNumberFormat="1" applyFont="1" applyFill="1" applyBorder="1" applyAlignment="1">
      <alignment horizontal="center" vertical="center" wrapText="1"/>
    </xf>
    <xf numFmtId="3" fontId="28" fillId="2" borderId="7" xfId="38" applyNumberFormat="1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0" fontId="29" fillId="5" borderId="6" xfId="0" applyFont="1" applyFill="1" applyBorder="1" applyAlignment="1">
      <alignment horizontal="center" vertical="center" wrapText="1"/>
    </xf>
    <xf numFmtId="0" fontId="71" fillId="37" borderId="0" xfId="121" applyFont="1" applyFill="1" applyBorder="1" applyAlignment="1">
      <alignment horizontal="center"/>
    </xf>
    <xf numFmtId="0" fontId="71" fillId="37" borderId="46" xfId="121" applyFont="1" applyFill="1" applyBorder="1" applyAlignment="1">
      <alignment horizontal="center"/>
    </xf>
    <xf numFmtId="0" fontId="71" fillId="0" borderId="0" xfId="121" applyFont="1" applyAlignment="1">
      <alignment horizontal="center"/>
    </xf>
    <xf numFmtId="0" fontId="71" fillId="0" borderId="41" xfId="121" applyFont="1" applyBorder="1" applyAlignment="1">
      <alignment horizontal="center"/>
    </xf>
    <xf numFmtId="0" fontId="71" fillId="0" borderId="46" xfId="121" applyFont="1" applyBorder="1" applyAlignment="1">
      <alignment horizontal="center"/>
    </xf>
    <xf numFmtId="177" fontId="0" fillId="0" borderId="0" xfId="348" applyNumberFormat="1" applyFont="1" applyFill="1" applyAlignment="1">
      <alignment horizontal="center"/>
    </xf>
    <xf numFmtId="177" fontId="18" fillId="0" borderId="0" xfId="121" applyNumberFormat="1" applyAlignment="1">
      <alignment horizontal="center"/>
    </xf>
    <xf numFmtId="0" fontId="18" fillId="0" borderId="0" xfId="121" applyAlignment="1">
      <alignment horizontal="center"/>
    </xf>
    <xf numFmtId="0" fontId="71" fillId="0" borderId="15" xfId="121" applyFont="1" applyBorder="1" applyAlignment="1">
      <alignment horizontal="center"/>
    </xf>
    <xf numFmtId="0" fontId="71" fillId="0" borderId="20" xfId="121" applyFont="1" applyBorder="1" applyAlignment="1">
      <alignment horizontal="center"/>
    </xf>
    <xf numFmtId="0" fontId="71" fillId="37" borderId="15" xfId="121" applyFont="1" applyFill="1" applyBorder="1" applyAlignment="1">
      <alignment horizontal="center"/>
    </xf>
    <xf numFmtId="0" fontId="71" fillId="37" borderId="19" xfId="121" applyFont="1" applyFill="1" applyBorder="1" applyAlignment="1">
      <alignment horizontal="center"/>
    </xf>
    <xf numFmtId="0" fontId="71" fillId="37" borderId="20" xfId="121" applyFont="1" applyFill="1" applyBorder="1" applyAlignment="1">
      <alignment horizontal="center"/>
    </xf>
    <xf numFmtId="3" fontId="28" fillId="2" borderId="15" xfId="38" applyNumberFormat="1" applyFont="1" applyFill="1" applyBorder="1" applyAlignment="1">
      <alignment horizontal="center" vertical="center" wrapText="1"/>
    </xf>
    <xf numFmtId="3" fontId="28" fillId="2" borderId="21" xfId="38" applyNumberFormat="1" applyFont="1" applyFill="1" applyBorder="1" applyAlignment="1">
      <alignment horizontal="center" vertical="center" wrapText="1"/>
    </xf>
    <xf numFmtId="0" fontId="71" fillId="37" borderId="41" xfId="121" applyFont="1" applyFill="1" applyBorder="1" applyAlignment="1">
      <alignment horizontal="center"/>
    </xf>
    <xf numFmtId="177" fontId="18" fillId="0" borderId="15" xfId="121" applyNumberFormat="1" applyBorder="1" applyAlignment="1">
      <alignment horizontal="center"/>
    </xf>
    <xf numFmtId="0" fontId="18" fillId="0" borderId="20" xfId="121" applyBorder="1" applyAlignment="1">
      <alignment horizontal="center"/>
    </xf>
    <xf numFmtId="185" fontId="86" fillId="0" borderId="41" xfId="121" applyNumberFormat="1" applyFont="1" applyBorder="1" applyAlignment="1"/>
    <xf numFmtId="185" fontId="86" fillId="0" borderId="46" xfId="121" applyNumberFormat="1" applyFont="1" applyBorder="1" applyAlignment="1"/>
    <xf numFmtId="185" fontId="81" fillId="0" borderId="0" xfId="492" applyNumberFormat="1" applyFont="1" applyAlignment="1">
      <alignment horizontal="left"/>
    </xf>
    <xf numFmtId="168" fontId="36" fillId="0" borderId="41" xfId="0" applyNumberFormat="1" applyFont="1" applyFill="1" applyBorder="1" applyAlignment="1">
      <alignment horizontal="center" vertical="center"/>
    </xf>
    <xf numFmtId="168" fontId="36" fillId="0" borderId="46" xfId="0" applyNumberFormat="1" applyFont="1" applyFill="1" applyBorder="1" applyAlignment="1">
      <alignment horizontal="center" vertical="center"/>
    </xf>
    <xf numFmtId="0" fontId="43" fillId="0" borderId="79" xfId="121" applyFont="1" applyBorder="1" applyAlignment="1">
      <alignment horizontal="right"/>
    </xf>
    <xf numFmtId="0" fontId="18" fillId="0" borderId="79" xfId="121" applyBorder="1" applyAlignment="1"/>
    <xf numFmtId="0" fontId="114" fillId="46" borderId="25" xfId="121" applyFont="1" applyFill="1" applyBorder="1" applyAlignment="1">
      <alignment horizontal="center" vertical="center" wrapText="1"/>
    </xf>
    <xf numFmtId="0" fontId="114" fillId="46" borderId="87" xfId="121" applyFont="1" applyFill="1" applyBorder="1" applyAlignment="1">
      <alignment horizontal="center" vertical="center" wrapText="1"/>
    </xf>
    <xf numFmtId="0" fontId="114" fillId="46" borderId="54" xfId="121" applyFont="1" applyFill="1" applyBorder="1" applyAlignment="1">
      <alignment horizontal="center" vertical="center" wrapText="1"/>
    </xf>
    <xf numFmtId="0" fontId="114" fillId="46" borderId="56" xfId="121" applyFont="1" applyFill="1" applyBorder="1" applyAlignment="1">
      <alignment horizontal="center" vertical="center" wrapText="1"/>
    </xf>
    <xf numFmtId="0" fontId="114" fillId="46" borderId="23" xfId="121" applyFont="1" applyFill="1" applyBorder="1" applyAlignment="1">
      <alignment horizontal="center" vertical="center" wrapText="1"/>
    </xf>
    <xf numFmtId="0" fontId="114" fillId="46" borderId="55" xfId="121" applyFont="1" applyFill="1" applyBorder="1" applyAlignment="1">
      <alignment horizontal="center" vertical="center" wrapText="1"/>
    </xf>
    <xf numFmtId="0" fontId="114" fillId="46" borderId="86" xfId="121" applyFont="1" applyFill="1" applyBorder="1" applyAlignment="1">
      <alignment horizontal="center" vertical="center" wrapText="1"/>
    </xf>
    <xf numFmtId="10" fontId="115" fillId="40" borderId="0" xfId="121" applyNumberFormat="1" applyFont="1" applyFill="1" applyBorder="1" applyAlignment="1">
      <alignment horizontal="center" vertical="center" wrapText="1"/>
    </xf>
    <xf numFmtId="0" fontId="124" fillId="46" borderId="83" xfId="92" applyFont="1" applyFill="1" applyBorder="1" applyAlignment="1">
      <alignment horizontal="center" vertical="center" wrapText="1"/>
    </xf>
    <xf numFmtId="0" fontId="124" fillId="46" borderId="56" xfId="92" applyFont="1" applyFill="1" applyBorder="1" applyAlignment="1">
      <alignment horizontal="center" vertical="center" wrapText="1"/>
    </xf>
    <xf numFmtId="0" fontId="124" fillId="46" borderId="80" xfId="92" applyFont="1" applyFill="1" applyBorder="1" applyAlignment="1">
      <alignment horizontal="center" vertical="center" wrapText="1"/>
    </xf>
    <xf numFmtId="0" fontId="124" fillId="46" borderId="84" xfId="92" applyFont="1" applyFill="1" applyBorder="1" applyAlignment="1">
      <alignment horizontal="center" vertical="center" wrapText="1"/>
    </xf>
    <xf numFmtId="0" fontId="124" fillId="46" borderId="81" xfId="92" applyFont="1" applyFill="1" applyBorder="1" applyAlignment="1">
      <alignment horizontal="center" vertical="center" wrapText="1"/>
    </xf>
    <xf numFmtId="0" fontId="124" fillId="46" borderId="83" xfId="92" applyFont="1" applyFill="1" applyBorder="1" applyAlignment="1">
      <alignment horizontal="left" vertical="center"/>
    </xf>
    <xf numFmtId="0" fontId="124" fillId="46" borderId="56" xfId="92" applyFont="1" applyFill="1" applyBorder="1" applyAlignment="1">
      <alignment horizontal="left" vertical="center"/>
    </xf>
    <xf numFmtId="0" fontId="124" fillId="46" borderId="80" xfId="92" applyFont="1" applyFill="1" applyBorder="1" applyAlignment="1">
      <alignment horizontal="center" vertical="center"/>
    </xf>
    <xf numFmtId="0" fontId="124" fillId="46" borderId="84" xfId="92" applyFont="1" applyFill="1" applyBorder="1" applyAlignment="1">
      <alignment horizontal="center" vertical="center"/>
    </xf>
    <xf numFmtId="0" fontId="124" fillId="46" borderId="81" xfId="92" applyFont="1" applyFill="1" applyBorder="1" applyAlignment="1">
      <alignment horizontal="center" vertical="center"/>
    </xf>
    <xf numFmtId="0" fontId="132" fillId="0" borderId="79" xfId="92" applyFont="1" applyBorder="1" applyAlignment="1">
      <alignment horizontal="center"/>
    </xf>
    <xf numFmtId="0" fontId="9" fillId="0" borderId="79" xfId="92" applyFont="1" applyBorder="1" applyAlignment="1">
      <alignment horizontal="center"/>
    </xf>
    <xf numFmtId="0" fontId="124" fillId="46" borderId="83" xfId="92" applyFont="1" applyFill="1" applyBorder="1" applyAlignment="1">
      <alignment horizontal="center" vertical="center"/>
    </xf>
    <xf numFmtId="0" fontId="124" fillId="46" borderId="56" xfId="92" applyFont="1" applyFill="1" applyBorder="1" applyAlignment="1">
      <alignment horizontal="center" vertical="center"/>
    </xf>
  </cellXfs>
  <cellStyles count="611">
    <cellStyle name="_Днепр_компания (2)" xfId="3"/>
    <cellStyle name="_Кеш фло ТМ-07.09" xfId="4"/>
    <cellStyle name="_Копия БДР  план июль 2009 (2 раз)" xfId="5"/>
    <cellStyle name="_план продаж 01" xfId="6"/>
    <cellStyle name="_план продаж 01_ТМ_БДР_март2010" xfId="7"/>
    <cellStyle name="_ПРОДАЖИ,СЕБЕСТОИМОСТЬ,ЗАКУПКИ07" xfId="8"/>
    <cellStyle name="_ЦЗ_Маркетинг" xfId="9"/>
    <cellStyle name="_ЦЗ_Маркетинг 2" xfId="508"/>
    <cellStyle name="_ЦЗ_Маркетинг_Маржинальность факт 07 03 10" xfId="10"/>
    <cellStyle name="_ЦЗ_Маркетинг_Маржинальность факт 07 03 10 2" xfId="509"/>
    <cellStyle name="_ЦЗ_Маркетинг_Маржинальность факт 14 02 10" xfId="11"/>
    <cellStyle name="_ЦЗ_Маркетинг_Маржинальность факт 14 02 10 2" xfId="510"/>
    <cellStyle name="_ЦЗ_Маркетинг_Маржинальность факт 14 03 10" xfId="12"/>
    <cellStyle name="_ЦЗ_Маркетинг_Маржинальность факт 14 03 10 2" xfId="511"/>
    <cellStyle name="_ЦЗ_Маркетинг_Маржинальность факт 18 04 10" xfId="13"/>
    <cellStyle name="_ЦЗ_Маркетинг_Маржинальность факт 18 04 10 2" xfId="512"/>
    <cellStyle name="_ЦЗ_Маркетинг_Маржинальность факт 21 02 10" xfId="14"/>
    <cellStyle name="_ЦЗ_Маркетинг_Маржинальность факт 21 02 10 2" xfId="513"/>
    <cellStyle name="_ЦЗ_Маркетинг_Маржинальность факт 28 02 10" xfId="15"/>
    <cellStyle name="_ЦЗ_Маркетинг_Маржинальность факт 28 02 10 2" xfId="514"/>
    <cellStyle name="_ЦЗ_Маркетинг_Маржинальность факт 28 03 10" xfId="16"/>
    <cellStyle name="_ЦЗ_Маркетинг_Маржинальность факт 28 03 10 2" xfId="515"/>
    <cellStyle name="_ЦЗ_Маркетинг_Маржинальность факт 30 04 10" xfId="17"/>
    <cellStyle name="_ЦЗ_Маркетинг_Маржинальность факт 30 04 10 2" xfId="516"/>
    <cellStyle name="20% - Акцент1 2" xfId="349"/>
    <cellStyle name="20% - Акцент2 2" xfId="350"/>
    <cellStyle name="20% - Акцент3 2" xfId="351"/>
    <cellStyle name="20% - Акцент4 2" xfId="352"/>
    <cellStyle name="20% - Акцент5 2" xfId="353"/>
    <cellStyle name="20% - Акцент6 2" xfId="354"/>
    <cellStyle name="40% - Акцент1 2" xfId="355"/>
    <cellStyle name="40% - Акцент2 2" xfId="356"/>
    <cellStyle name="40% - Акцент3 2" xfId="357"/>
    <cellStyle name="40% - Акцент4 2" xfId="358"/>
    <cellStyle name="40% - Акцент5 2" xfId="359"/>
    <cellStyle name="40% - Акцент6 2" xfId="360"/>
    <cellStyle name="60% - Акцент1 2" xfId="361"/>
    <cellStyle name="60% - Акцент2 2" xfId="362"/>
    <cellStyle name="60% - Акцент3 2" xfId="363"/>
    <cellStyle name="60% - Акцент4 2" xfId="364"/>
    <cellStyle name="60% - Акцент5 2" xfId="365"/>
    <cellStyle name="60% - Акцент6 2" xfId="366"/>
    <cellStyle name="Euro" xfId="609"/>
    <cellStyle name="Normal_BVN_ER_E" xfId="610"/>
    <cellStyle name="Акцент1 2" xfId="367"/>
    <cellStyle name="Акцент2 2" xfId="368"/>
    <cellStyle name="Акцент3 2" xfId="369"/>
    <cellStyle name="Акцент4 2" xfId="370"/>
    <cellStyle name="Акцент5 2" xfId="371"/>
    <cellStyle name="Акцент6 2" xfId="372"/>
    <cellStyle name="Ввод  2" xfId="373"/>
    <cellStyle name="Ввод  2 2" xfId="503"/>
    <cellStyle name="Ввод  2 2 2" xfId="573"/>
    <cellStyle name="Ввод  2 3" xfId="502"/>
    <cellStyle name="Ввод  2 3 2" xfId="574"/>
    <cellStyle name="Ввод  2 4" xfId="575"/>
    <cellStyle name="Вывод 2" xfId="374"/>
    <cellStyle name="Вывод 2 2" xfId="504"/>
    <cellStyle name="Вывод 2 2 2" xfId="576"/>
    <cellStyle name="Вывод 2 3" xfId="499"/>
    <cellStyle name="Вывод 2 3 2" xfId="577"/>
    <cellStyle name="Вывод 2 4" xfId="578"/>
    <cellStyle name="Вычисление 2" xfId="375"/>
    <cellStyle name="Вычисление 2 2" xfId="505"/>
    <cellStyle name="Вычисление 2 2 2" xfId="579"/>
    <cellStyle name="Вычисление 2 3" xfId="501"/>
    <cellStyle name="Вычисление 2 3 2" xfId="580"/>
    <cellStyle name="Вычисление 2 4" xfId="581"/>
    <cellStyle name="Гиперссылка 2" xfId="376"/>
    <cellStyle name="Денежный 2" xfId="18"/>
    <cellStyle name="Денежный 2 2" xfId="90"/>
    <cellStyle name="Денежный 2 3" xfId="517"/>
    <cellStyle name="Денежный 3" xfId="19"/>
    <cellStyle name="Денежный 4" xfId="20"/>
    <cellStyle name="Денежный 4 2" xfId="518"/>
    <cellStyle name="Заголовок 1 2" xfId="377"/>
    <cellStyle name="Заголовок 2 2" xfId="378"/>
    <cellStyle name="Заголовок 3 2" xfId="379"/>
    <cellStyle name="Заголовок 4 2" xfId="380"/>
    <cellStyle name="Итог 2" xfId="381"/>
    <cellStyle name="Итог 2 2" xfId="506"/>
    <cellStyle name="Итог 2 2 2" xfId="582"/>
    <cellStyle name="Итог 2 3" xfId="498"/>
    <cellStyle name="Итог 2 3 2" xfId="583"/>
    <cellStyle name="Итог 2 4" xfId="584"/>
    <cellStyle name="Контрольная ячейка 2" xfId="382"/>
    <cellStyle name="Название 2" xfId="383"/>
    <cellStyle name="Нейтральный 2" xfId="384"/>
    <cellStyle name="Обычный" xfId="0" builtinId="0"/>
    <cellStyle name="Обычный 10" xfId="21"/>
    <cellStyle name="Обычный 10 2" xfId="22"/>
    <cellStyle name="Обычный 10 2 2" xfId="91"/>
    <cellStyle name="Обычный 10 2 2 2" xfId="92"/>
    <cellStyle name="Обычный 10 2 2 2 2" xfId="93"/>
    <cellStyle name="Обычный 10 2 2 2 2 2" xfId="94"/>
    <cellStyle name="Обычный 10 2 2 2 2 2 2" xfId="95"/>
    <cellStyle name="Обычный 10 2 2 2 2 2 2 2" xfId="96"/>
    <cellStyle name="Обычный 10 2 2 2 3" xfId="97"/>
    <cellStyle name="Обычный 10 2 2 2 3 2" xfId="98"/>
    <cellStyle name="Обычный 10 2 2 2 3 2 2" xfId="519"/>
    <cellStyle name="Обычный 10 2 3" xfId="99"/>
    <cellStyle name="Обычный 10 2 3 2" xfId="100"/>
    <cellStyle name="Обычный 10 2 3 2 2" xfId="101"/>
    <cellStyle name="Обычный 10 2 3 2 2 2" xfId="102"/>
    <cellStyle name="Обычный 10 2 3 2 2 2 2" xfId="520"/>
    <cellStyle name="Обычный 10 2 3 2 2 3" xfId="103"/>
    <cellStyle name="Обычный 10 2 3 2 2 3 2" xfId="104"/>
    <cellStyle name="Обычный 10 2 3 2 2 3 2 2" xfId="105"/>
    <cellStyle name="Обычный 10 2 3 2 2 3 2 2 2" xfId="106"/>
    <cellStyle name="Обычный 10 2 3 2 2 3 2 2 2 2" xfId="107"/>
    <cellStyle name="Обычный 10 2 3 2 2 3 2 2 2 2 2" xfId="521"/>
    <cellStyle name="Обычный 10 2 3 2 2 4" xfId="108"/>
    <cellStyle name="Обычный 10 2 3 2 2 4 2" xfId="109"/>
    <cellStyle name="Обычный 10 2 3 2 2 5" xfId="110"/>
    <cellStyle name="Обычный 10 2 4" xfId="111"/>
    <cellStyle name="Обычный 10 2 4 2" xfId="112"/>
    <cellStyle name="Обычный 10 2 5" xfId="113"/>
    <cellStyle name="Обычный 10 2 5 2" xfId="436"/>
    <cellStyle name="Обычный 10 2 6" xfId="437"/>
    <cellStyle name="Обычный 10 3" xfId="114"/>
    <cellStyle name="Обычный 11" xfId="23"/>
    <cellStyle name="Обычный 11 2" xfId="24"/>
    <cellStyle name="Обычный 11 2 2" xfId="115"/>
    <cellStyle name="Обычный 11 2 2 2" xfId="524"/>
    <cellStyle name="Обычный 11 2 3" xfId="116"/>
    <cellStyle name="Обычный 11 2 3 2" xfId="525"/>
    <cellStyle name="Обычный 11 2 4" xfId="117"/>
    <cellStyle name="Обычный 11 2 5" xfId="523"/>
    <cellStyle name="Обычный 11 3" xfId="522"/>
    <cellStyle name="Обычный 12" xfId="25"/>
    <cellStyle name="Обычный 12 2" xfId="26"/>
    <cellStyle name="Обычный 12 3" xfId="118"/>
    <cellStyle name="Обычный 12 3 2" xfId="438"/>
    <cellStyle name="Обычный 13" xfId="2"/>
    <cellStyle name="Обычный 13 2" xfId="27"/>
    <cellStyle name="Обычный 13 2 2" xfId="119"/>
    <cellStyle name="Обычный 13 2 2 2" xfId="527"/>
    <cellStyle name="Обычный 13 2 3" xfId="120"/>
    <cellStyle name="Обычный 13 2 4" xfId="526"/>
    <cellStyle name="Обычный 13 3" xfId="28"/>
    <cellStyle name="Обычный 13 3 2" xfId="528"/>
    <cellStyle name="Обычный 14" xfId="29"/>
    <cellStyle name="Обычный 14 2" xfId="30"/>
    <cellStyle name="Обычный 14 2 2" xfId="529"/>
    <cellStyle name="Обычный 14 3" xfId="121"/>
    <cellStyle name="Обычный 14 3 2" xfId="122"/>
    <cellStyle name="Обычный 14 3 2 2" xfId="585"/>
    <cellStyle name="Обычный 14 3 2 2 2" xfId="586"/>
    <cellStyle name="Обычный 14 3 3" xfId="123"/>
    <cellStyle name="Обычный 14 3 4" xfId="494"/>
    <cellStyle name="Обычный 14 3 5" xfId="587"/>
    <cellStyle name="Обычный 15" xfId="31"/>
    <cellStyle name="Обычный 15 2" xfId="124"/>
    <cellStyle name="Обычный 16" xfId="32"/>
    <cellStyle name="Обычный 16 2" xfId="125"/>
    <cellStyle name="Обычный 17" xfId="33"/>
    <cellStyle name="Обычный 17 2" xfId="126"/>
    <cellStyle name="Обычный 17 2 2" xfId="439"/>
    <cellStyle name="Обычный 18" xfId="34"/>
    <cellStyle name="Обычный 18 2" xfId="440"/>
    <cellStyle name="Обычный 19" xfId="127"/>
    <cellStyle name="Обычный 19 2" xfId="530"/>
    <cellStyle name="Обычный 2" xfId="35"/>
    <cellStyle name="Обычный 2 10" xfId="128"/>
    <cellStyle name="Обычный 2 11" xfId="441"/>
    <cellStyle name="Обычный 2 2" xfId="36"/>
    <cellStyle name="Обычный 2 2 2" xfId="37"/>
    <cellStyle name="Обычный 2 2 2 2" xfId="531"/>
    <cellStyle name="Обычный 2 2 3" xfId="38"/>
    <cellStyle name="Обычный 2 2 4" xfId="129"/>
    <cellStyle name="Обычный 2 3" xfId="39"/>
    <cellStyle name="Обычный 2 3 2" xfId="130"/>
    <cellStyle name="Обычный 2 3 3" xfId="131"/>
    <cellStyle name="Обычный 2 4" xfId="40"/>
    <cellStyle name="Обычный 2 5" xfId="41"/>
    <cellStyle name="Обычный 2 5 2" xfId="132"/>
    <cellStyle name="Обычный 2 5 3" xfId="532"/>
    <cellStyle name="Обычный 2 6" xfId="42"/>
    <cellStyle name="Обычный 2 6 2" xfId="533"/>
    <cellStyle name="Обычный 2 7" xfId="133"/>
    <cellStyle name="Обычный 2 8" xfId="134"/>
    <cellStyle name="Обычный 2 8 2" xfId="135"/>
    <cellStyle name="Обычный 2 9" xfId="136"/>
    <cellStyle name="Обычный 2 9 2" xfId="442"/>
    <cellStyle name="Обычный 2_БДР БФМ план март 2010г" xfId="43"/>
    <cellStyle name="Обычный 20" xfId="137"/>
    <cellStyle name="Обычный 20 2" xfId="443"/>
    <cellStyle name="Обычный 20 5" xfId="138"/>
    <cellStyle name="Обычный 20 5 2" xfId="444"/>
    <cellStyle name="Обычный 20 5 8" xfId="139"/>
    <cellStyle name="Обычный 20 5 8 2" xfId="445"/>
    <cellStyle name="Обычный 20 5 8 8" xfId="140"/>
    <cellStyle name="Обычный 20 5 8 8 2" xfId="446"/>
    <cellStyle name="Обычный 21" xfId="141"/>
    <cellStyle name="Обычный 21 2" xfId="142"/>
    <cellStyle name="Обычный 21 2 2" xfId="447"/>
    <cellStyle name="Обычный 21 2 3" xfId="143"/>
    <cellStyle name="Обычный 21 2 3 2" xfId="448"/>
    <cellStyle name="Обычный 21 2 4" xfId="144"/>
    <cellStyle name="Обычный 21 2 4 2" xfId="449"/>
    <cellStyle name="Обычный 21 2 5" xfId="145"/>
    <cellStyle name="Обычный 21 2 5 2" xfId="450"/>
    <cellStyle name="Обычный 21 3" xfId="451"/>
    <cellStyle name="Обычный 22" xfId="146"/>
    <cellStyle name="Обычный 22 11" xfId="147"/>
    <cellStyle name="Обычный 22 11 2" xfId="452"/>
    <cellStyle name="Обычный 22 2" xfId="148"/>
    <cellStyle name="Обычный 22 2 2" xfId="453"/>
    <cellStyle name="Обычный 22 2 4" xfId="149"/>
    <cellStyle name="Обычный 22 2 4 2" xfId="150"/>
    <cellStyle name="Обычный 22 2 4 2 2" xfId="454"/>
    <cellStyle name="Обычный 22 2 4 2 6" xfId="151"/>
    <cellStyle name="Обычный 22 2 4 2 6 2" xfId="455"/>
    <cellStyle name="Обычный 22 2 4 2 8" xfId="152"/>
    <cellStyle name="Обычный 22 2 4 2 8 2" xfId="456"/>
    <cellStyle name="Обычный 22 2 4 3" xfId="457"/>
    <cellStyle name="Обычный 22 3" xfId="458"/>
    <cellStyle name="Обычный 22 6" xfId="153"/>
    <cellStyle name="Обычный 22 6 2" xfId="459"/>
    <cellStyle name="Обычный 22 6 3" xfId="154"/>
    <cellStyle name="Обычный 22 6 3 2" xfId="460"/>
    <cellStyle name="Обычный 22 6 5" xfId="155"/>
    <cellStyle name="Обычный 22 6 5 2" xfId="156"/>
    <cellStyle name="Обычный 22 6 5 2 2" xfId="461"/>
    <cellStyle name="Обычный 22 6 5 3" xfId="462"/>
    <cellStyle name="Обычный 22 6 6" xfId="157"/>
    <cellStyle name="Обычный 22 6 6 2" xfId="463"/>
    <cellStyle name="Обычный 22 9" xfId="158"/>
    <cellStyle name="Обычный 22 9 2" xfId="464"/>
    <cellStyle name="Обычный 23" xfId="159"/>
    <cellStyle name="Обычный 23 2" xfId="160"/>
    <cellStyle name="Обычный 23 2 2" xfId="588"/>
    <cellStyle name="Обычный 23 3" xfId="161"/>
    <cellStyle name="Обычный 23 3 2" xfId="589"/>
    <cellStyle name="Обычный 23 4" xfId="495"/>
    <cellStyle name="Обычный 23 4 2" xfId="590"/>
    <cellStyle name="Обычный 23 5" xfId="591"/>
    <cellStyle name="Обычный 24" xfId="162"/>
    <cellStyle name="Обычный 24 2" xfId="465"/>
    <cellStyle name="Обычный 25" xfId="163"/>
    <cellStyle name="Обычный 25 2" xfId="164"/>
    <cellStyle name="Обычный 25 2 2" xfId="592"/>
    <cellStyle name="Обычный 25 3" xfId="165"/>
    <cellStyle name="Обычный 25 3 2" xfId="593"/>
    <cellStyle name="Обычный 25 4" xfId="496"/>
    <cellStyle name="Обычный 25 4 2" xfId="594"/>
    <cellStyle name="Обычный 25 5" xfId="595"/>
    <cellStyle name="Обычный 26" xfId="166"/>
    <cellStyle name="Обычный 26 2" xfId="167"/>
    <cellStyle name="Обычный 26 2 2" xfId="466"/>
    <cellStyle name="Обычный 26 3" xfId="467"/>
    <cellStyle name="Обычный 27" xfId="168"/>
    <cellStyle name="Обычный 27 2" xfId="169"/>
    <cellStyle name="Обычный 27 3" xfId="170"/>
    <cellStyle name="Обычный 27 3 2" xfId="596"/>
    <cellStyle name="Обычный 28" xfId="171"/>
    <cellStyle name="Обычный 28 2" xfId="172"/>
    <cellStyle name="Обычный 28 2 2" xfId="468"/>
    <cellStyle name="Обычный 28 2 3" xfId="173"/>
    <cellStyle name="Обычный 28 2 3 2" xfId="174"/>
    <cellStyle name="Обычный 28 2 3 2 2" xfId="469"/>
    <cellStyle name="Обычный 28 2 3 3" xfId="470"/>
    <cellStyle name="Обычный 28 3" xfId="471"/>
    <cellStyle name="Обычный 29" xfId="175"/>
    <cellStyle name="Обычный 29 2" xfId="472"/>
    <cellStyle name="Обычный 3" xfId="44"/>
    <cellStyle name="Обычный 3 2" xfId="45"/>
    <cellStyle name="Обычный 3 3" xfId="176"/>
    <cellStyle name="Обычный 3 3 2" xfId="385"/>
    <cellStyle name="Обычный 3 4" xfId="177"/>
    <cellStyle name="Обычный 3 5" xfId="386"/>
    <cellStyle name="Обычный 30" xfId="178"/>
    <cellStyle name="Обычный 30 2" xfId="179"/>
    <cellStyle name="Обычный 30 2 2" xfId="597"/>
    <cellStyle name="Обычный 31" xfId="180"/>
    <cellStyle name="Обычный 31 2" xfId="473"/>
    <cellStyle name="Обычный 32" xfId="181"/>
    <cellStyle name="Обычный 32 2" xfId="182"/>
    <cellStyle name="Обычный 32 2 2" xfId="474"/>
    <cellStyle name="Обычный 32 3" xfId="475"/>
    <cellStyle name="Обычный 33" xfId="183"/>
    <cellStyle name="Обычный 33 2" xfId="476"/>
    <cellStyle name="Обычный 34" xfId="184"/>
    <cellStyle name="Обычный 34 2" xfId="185"/>
    <cellStyle name="Обычный 35" xfId="186"/>
    <cellStyle name="Обычный 35 2" xfId="477"/>
    <cellStyle name="Обычный 36" xfId="187"/>
    <cellStyle name="Обычный 36 2" xfId="188"/>
    <cellStyle name="Обычный 36 2 2" xfId="387"/>
    <cellStyle name="Обычный 36 2 3" xfId="388"/>
    <cellStyle name="Обычный 36 2 4" xfId="389"/>
    <cellStyle name="Обычный 36 2 5" xfId="390"/>
    <cellStyle name="Обычный 36 2 6" xfId="391"/>
    <cellStyle name="Обычный 36 2 7" xfId="392"/>
    <cellStyle name="Обычный 36 2 8" xfId="393"/>
    <cellStyle name="Обычный 36 3" xfId="189"/>
    <cellStyle name="Обычный 37" xfId="190"/>
    <cellStyle name="Обычный 37 2" xfId="191"/>
    <cellStyle name="Обычный 38" xfId="192"/>
    <cellStyle name="Обычный 38 2" xfId="478"/>
    <cellStyle name="Обычный 39" xfId="193"/>
    <cellStyle name="Обычный 39 2" xfId="194"/>
    <cellStyle name="Обычный 4" xfId="46"/>
    <cellStyle name="Обычный 4 2" xfId="195"/>
    <cellStyle name="Обычный 40" xfId="196"/>
    <cellStyle name="Обычный 40 2" xfId="197"/>
    <cellStyle name="Обычный 41" xfId="198"/>
    <cellStyle name="Обычный 41 2" xfId="199"/>
    <cellStyle name="Обычный 42" xfId="200"/>
    <cellStyle name="Обычный 43" xfId="201"/>
    <cellStyle name="Обычный 43 2" xfId="598"/>
    <cellStyle name="Обычный 44" xfId="394"/>
    <cellStyle name="Обычный 45" xfId="395"/>
    <cellStyle name="Обычный 45 2" xfId="396"/>
    <cellStyle name="Обычный 46" xfId="397"/>
    <cellStyle name="Обычный 47" xfId="398"/>
    <cellStyle name="Обычный 48" xfId="399"/>
    <cellStyle name="Обычный 49" xfId="400"/>
    <cellStyle name="Обычный 5" xfId="47"/>
    <cellStyle name="Обычный 5 2" xfId="202"/>
    <cellStyle name="Обычный 5 2 2" xfId="203"/>
    <cellStyle name="Обычный 5 2 2 2" xfId="204"/>
    <cellStyle name="Обычный 5 2 2 2 2" xfId="205"/>
    <cellStyle name="Обычный 5 2 2 2 2 2" xfId="206"/>
    <cellStyle name="Обычный 5 2 2 2 2 2 2" xfId="207"/>
    <cellStyle name="Обычный 5 2 2 2 2 2 2 2" xfId="208"/>
    <cellStyle name="Обычный 5 2 2 2 2 2 2 2 2" xfId="209"/>
    <cellStyle name="Обычный 5 2 2 2 2 2 2 2 2 2" xfId="210"/>
    <cellStyle name="Обычный 5 2 2 2 2 2 2 2 2 2 2" xfId="534"/>
    <cellStyle name="Обычный 5 2 2 2 2 2 2 2 2 3" xfId="211"/>
    <cellStyle name="Обычный 5 2 2 2 2 2 2 2 2 3 2" xfId="212"/>
    <cellStyle name="Обычный 5 2 2 2 2 2 2 2 2 3 2 2" xfId="213"/>
    <cellStyle name="Обычный 5 2 2 2 2 2 2 2 2 3 2 2 2" xfId="214"/>
    <cellStyle name="Обычный 5 2 2 2 2 2 2 2 2 3 2 2 2 2" xfId="215"/>
    <cellStyle name="Обычный 5 2 2 2 2 2 2 2 2 3 3" xfId="216"/>
    <cellStyle name="Обычный 5 2 2 2 2 2 2 3" xfId="217"/>
    <cellStyle name="Обычный 5 2 2 2 2 2 2 3 2" xfId="218"/>
    <cellStyle name="Обычный 5 2 2 2 2 2 2 4" xfId="219"/>
    <cellStyle name="Обычный 5 2 2 2 2 2 2 4 2" xfId="220"/>
    <cellStyle name="Обычный 5 2 2 2 2 2 3" xfId="221"/>
    <cellStyle name="Обычный 5 2 2 2 2 2 3 2" xfId="222"/>
    <cellStyle name="Обычный 5 2 2 2 2 2 3 2 2" xfId="535"/>
    <cellStyle name="Обычный 5 2 2 2 2 2 4" xfId="223"/>
    <cellStyle name="Обычный 5 2 2 2 2 2 4 2" xfId="224"/>
    <cellStyle name="Обычный 5 2 2 2 2 2 4 2 2" xfId="225"/>
    <cellStyle name="Обычный 5 2 2 2 2 2 4 2 2 2" xfId="226"/>
    <cellStyle name="Обычный 5 2 2 2 2 2 4 2 2 2 2" xfId="227"/>
    <cellStyle name="Обычный 5 2 2 2 2 2 4 2 2 2 2 2" xfId="536"/>
    <cellStyle name="Обычный 5 2 2 2 2 2 4 3" xfId="228"/>
    <cellStyle name="Обычный 5 2 2 2 2 2 4 3 2" xfId="229"/>
    <cellStyle name="Обычный 5 2 2 2 2 3" xfId="230"/>
    <cellStyle name="Обычный 5 2 2 2 2 3 2" xfId="231"/>
    <cellStyle name="Обычный 5 2 2 2 2 3 2 2" xfId="232"/>
    <cellStyle name="Обычный 5 2 2 2 2 3 2 2 2" xfId="233"/>
    <cellStyle name="Обычный 5 2 2 2 2 3 2 2 2 2" xfId="234"/>
    <cellStyle name="Обычный 5 2 2 2 2 3 3" xfId="235"/>
    <cellStyle name="Обычный 5 2 2 2 2 3 4" xfId="236"/>
    <cellStyle name="Обычный 5 2 3" xfId="237"/>
    <cellStyle name="Обычный 5 2 3 2" xfId="238"/>
    <cellStyle name="Обычный 5 2 3 2 2" xfId="239"/>
    <cellStyle name="Обычный 5 2 3 2 3" xfId="240"/>
    <cellStyle name="Обычный 5 2 3 2 3 2" xfId="241"/>
    <cellStyle name="Обычный 5 2 3 2 3 2 2" xfId="242"/>
    <cellStyle name="Обычный 5 2 3 2 4" xfId="243"/>
    <cellStyle name="Обычный 5 2 3 2 4 2" xfId="244"/>
    <cellStyle name="Обычный 5 2 3 2 4 2 2" xfId="245"/>
    <cellStyle name="Обычный 5 2 3 2 4 2 2 2" xfId="246"/>
    <cellStyle name="Обычный 5 2 3 2 4 2 2 2 2" xfId="247"/>
    <cellStyle name="Обычный 5 2 3 2 4 3" xfId="248"/>
    <cellStyle name="Обычный 5 2 3 3" xfId="249"/>
    <cellStyle name="Обычный 5 2 3 3 2" xfId="250"/>
    <cellStyle name="Обычный 5 2 3 3 2 2" xfId="251"/>
    <cellStyle name="Обычный 5 2 3 3 2 3" xfId="252"/>
    <cellStyle name="Обычный 5 2 3 3 2 3 2" xfId="253"/>
    <cellStyle name="Обычный 5 2 3 3 2 3 2 2" xfId="254"/>
    <cellStyle name="Обычный 5 2 3 3 2 3 2 2 2" xfId="255"/>
    <cellStyle name="Обычный 5 2 3 3 2 3 2 2 2 2" xfId="256"/>
    <cellStyle name="Обычный 5 2 3 3 2 4" xfId="257"/>
    <cellStyle name="Обычный 5 2 3 3 2 4 2" xfId="258"/>
    <cellStyle name="Обычный 5 2 3 3 2 4 2 2" xfId="259"/>
    <cellStyle name="Обычный 5 2 3 3 2 4 2 2 2" xfId="260"/>
    <cellStyle name="Обычный 5 2 3 3 2 4 2 2 2 2" xfId="261"/>
    <cellStyle name="Обычный 5 2 3 3 2 4 2 2 2 2 2" xfId="262"/>
    <cellStyle name="Обычный 5 2 3 3 2 4 2 2 2 2 2 2" xfId="263"/>
    <cellStyle name="Обычный 5 2 3 3 3" xfId="264"/>
    <cellStyle name="Обычный 5 2 3 3 4" xfId="265"/>
    <cellStyle name="Обычный 5 2 3 4" xfId="266"/>
    <cellStyle name="Обычный 5 2 3 4 2" xfId="267"/>
    <cellStyle name="Обычный 5 2 3 4 2 2" xfId="268"/>
    <cellStyle name="Обычный 5 2 3 4 2 2 2" xfId="537"/>
    <cellStyle name="Обычный 5 2 3 4 2 3" xfId="269"/>
    <cellStyle name="Обычный 5 2 4" xfId="270"/>
    <cellStyle name="Обычный 5 2 4 2" xfId="271"/>
    <cellStyle name="Обычный 5 2 4 2 2" xfId="272"/>
    <cellStyle name="Обычный 5 2 4 2 3" xfId="273"/>
    <cellStyle name="Обычный 5 2 4 2 3 2" xfId="274"/>
    <cellStyle name="Обычный 5 2 4 2 3 2 2" xfId="275"/>
    <cellStyle name="Обычный 5 2 4 2 3 2 2 2" xfId="276"/>
    <cellStyle name="Обычный 5 2 4 3" xfId="277"/>
    <cellStyle name="Обычный 5 2 4 3 2" xfId="278"/>
    <cellStyle name="Обычный 5 2 4 3 2 2" xfId="538"/>
    <cellStyle name="Обычный 5 2 4 4" xfId="279"/>
    <cellStyle name="Обычный 5 2 5" xfId="280"/>
    <cellStyle name="Обычный 5 2 5 2" xfId="281"/>
    <cellStyle name="Обычный 5 2 5 2 2" xfId="282"/>
    <cellStyle name="Обычный 5 2 5 2 2 2" xfId="283"/>
    <cellStyle name="Обычный 5 2 5 2 2 2 2" xfId="539"/>
    <cellStyle name="Обычный 5 2 5 3" xfId="284"/>
    <cellStyle name="Обычный 5 2 5 4" xfId="285"/>
    <cellStyle name="Обычный 5 3" xfId="286"/>
    <cellStyle name="Обычный 5 4" xfId="287"/>
    <cellStyle name="Обычный 5 4 2" xfId="288"/>
    <cellStyle name="Обычный 5 4 2 2" xfId="289"/>
    <cellStyle name="Обычный 5 4 2 2 2" xfId="290"/>
    <cellStyle name="Обычный 5 4 2 2 2 2" xfId="291"/>
    <cellStyle name="Обычный 5 4 2 2 2 2 2" xfId="292"/>
    <cellStyle name="Обычный 5 4 2 2 2 2 2 2" xfId="540"/>
    <cellStyle name="Обычный 5 4 2 3" xfId="293"/>
    <cellStyle name="Обычный 5 4 2 3 2" xfId="294"/>
    <cellStyle name="Обычный 5 4 2 3 2 2" xfId="295"/>
    <cellStyle name="Обычный 5 4 2 3 2 2 2" xfId="296"/>
    <cellStyle name="Обычный 5 4 2 3 2 2 2 2" xfId="297"/>
    <cellStyle name="Обычный 5 4 2 3 2 2 2 2 2" xfId="298"/>
    <cellStyle name="Обычный 5 4 2 3 2 2 2 2 2 2" xfId="299"/>
    <cellStyle name="Обычный 5 4 3" xfId="300"/>
    <cellStyle name="Обычный 5 4 4" xfId="301"/>
    <cellStyle name="Обычный 5 5" xfId="302"/>
    <cellStyle name="Обычный 50" xfId="303"/>
    <cellStyle name="Обычный 50 2" xfId="401"/>
    <cellStyle name="Обычный 50 3" xfId="599"/>
    <cellStyle name="Обычный 51" xfId="402"/>
    <cellStyle name="Обычный 52" xfId="403"/>
    <cellStyle name="Обычный 53" xfId="404"/>
    <cellStyle name="Обычный 6" xfId="48"/>
    <cellStyle name="Обычный 7" xfId="49"/>
    <cellStyle name="Обычный 7 10" xfId="405"/>
    <cellStyle name="Обычный 7 10 2" xfId="406"/>
    <cellStyle name="Обычный 7 11" xfId="407"/>
    <cellStyle name="Обычный 7 12" xfId="408"/>
    <cellStyle name="Обычный 7 13" xfId="409"/>
    <cellStyle name="Обычный 7 13 2" xfId="410"/>
    <cellStyle name="Обычный 7 14" xfId="600"/>
    <cellStyle name="Обычный 7 2" xfId="50"/>
    <cellStyle name="Обычный 7 2 2" xfId="304"/>
    <cellStyle name="Обычный 7 2 2 2" xfId="541"/>
    <cellStyle name="Обычный 7 2 3" xfId="479"/>
    <cellStyle name="Обычный 7 3" xfId="51"/>
    <cellStyle name="Обычный 7 3 2" xfId="542"/>
    <cellStyle name="Обычный 7 4" xfId="305"/>
    <cellStyle name="Обычный 7 4 2" xfId="306"/>
    <cellStyle name="Обычный 7 5" xfId="307"/>
    <cellStyle name="Обычный 7 5 2" xfId="480"/>
    <cellStyle name="Обычный 7 6" xfId="308"/>
    <cellStyle name="Обычный 7 6 2" xfId="481"/>
    <cellStyle name="Обычный 7 7" xfId="309"/>
    <cellStyle name="Обычный 7 8" xfId="310"/>
    <cellStyle name="Обычный 7 9" xfId="411"/>
    <cellStyle name="Обычный 8" xfId="52"/>
    <cellStyle name="Обычный 8 2" xfId="53"/>
    <cellStyle name="Обычный 8 3" xfId="311"/>
    <cellStyle name="Обычный 9" xfId="54"/>
    <cellStyle name="Обычный 9 2" xfId="55"/>
    <cellStyle name="Обычный 9 2 2" xfId="482"/>
    <cellStyle name="Обычный 9 3" xfId="56"/>
    <cellStyle name="Обычный 9 3 2" xfId="544"/>
    <cellStyle name="Обычный 9 4" xfId="312"/>
    <cellStyle name="Обычный 9 4 2" xfId="313"/>
    <cellStyle name="Обычный 9 4 3" xfId="545"/>
    <cellStyle name="Обычный 9 5" xfId="314"/>
    <cellStyle name="Обычный 9 6" xfId="543"/>
    <cellStyle name="Плохой 2" xfId="412"/>
    <cellStyle name="Пояснение 2" xfId="413"/>
    <cellStyle name="Примечание 2" xfId="414"/>
    <cellStyle name="Примечание 2 2" xfId="507"/>
    <cellStyle name="Примечание 2 2 2" xfId="601"/>
    <cellStyle name="Примечание 2 3" xfId="500"/>
    <cellStyle name="Примечание 2 3 2" xfId="602"/>
    <cellStyle name="Примечание 2 4" xfId="603"/>
    <cellStyle name="Процентный" xfId="348" builtinId="5"/>
    <cellStyle name="Процентный 10" xfId="315"/>
    <cellStyle name="Процентный 10 2" xfId="316"/>
    <cellStyle name="Процентный 10 2 2" xfId="483"/>
    <cellStyle name="Процентный 11" xfId="317"/>
    <cellStyle name="Процентный 11 2" xfId="318"/>
    <cellStyle name="Процентный 12" xfId="319"/>
    <cellStyle name="Процентный 12 2" xfId="484"/>
    <cellStyle name="Процентный 13" xfId="320"/>
    <cellStyle name="Процентный 13 2" xfId="485"/>
    <cellStyle name="Процентный 14" xfId="321"/>
    <cellStyle name="Процентный 14 2" xfId="486"/>
    <cellStyle name="Процентный 15" xfId="322"/>
    <cellStyle name="Процентный 15 2" xfId="487"/>
    <cellStyle name="Процентный 15 3" xfId="607"/>
    <cellStyle name="Процентный 16" xfId="323"/>
    <cellStyle name="Процентный 17" xfId="324"/>
    <cellStyle name="Процентный 18" xfId="325"/>
    <cellStyle name="Процентный 19" xfId="415"/>
    <cellStyle name="Процентный 19 2" xfId="416"/>
    <cellStyle name="Процентный 19 3" xfId="493"/>
    <cellStyle name="Процентный 2" xfId="57"/>
    <cellStyle name="Процентный 2 2" xfId="58"/>
    <cellStyle name="Процентный 2 2 2" xfId="326"/>
    <cellStyle name="Процентный 2 2 2 2" xfId="548"/>
    <cellStyle name="Процентный 2 2 3" xfId="547"/>
    <cellStyle name="Процентный 2 3" xfId="327"/>
    <cellStyle name="Процентный 2 4" xfId="546"/>
    <cellStyle name="Процентный 2_Бюджет декабрь2009 типовой" xfId="59"/>
    <cellStyle name="Процентный 20" xfId="417"/>
    <cellStyle name="Процентный 21" xfId="418"/>
    <cellStyle name="Процентный 21 2" xfId="419"/>
    <cellStyle name="Процентный 22" xfId="420"/>
    <cellStyle name="Процентный 23" xfId="421"/>
    <cellStyle name="Процентный 24" xfId="422"/>
    <cellStyle name="Процентный 25" xfId="423"/>
    <cellStyle name="Процентный 26" xfId="424"/>
    <cellStyle name="Процентный 27" xfId="425"/>
    <cellStyle name="Процентный 27 2" xfId="426"/>
    <cellStyle name="Процентный 28" xfId="427"/>
    <cellStyle name="Процентный 29" xfId="428"/>
    <cellStyle name="Процентный 29 2" xfId="429"/>
    <cellStyle name="Процентный 3" xfId="60"/>
    <cellStyle name="Процентный 3 2" xfId="61"/>
    <cellStyle name="Процентный 3 2 2" xfId="550"/>
    <cellStyle name="Процентный 3 3" xfId="549"/>
    <cellStyle name="Процентный 30" xfId="430"/>
    <cellStyle name="Процентный 31" xfId="604"/>
    <cellStyle name="Процентный 4" xfId="62"/>
    <cellStyle name="Процентный 4 2" xfId="63"/>
    <cellStyle name="Процентный 4 3" xfId="328"/>
    <cellStyle name="Процентный 4 3 2" xfId="488"/>
    <cellStyle name="Процентный 5" xfId="64"/>
    <cellStyle name="Процентный 5 2" xfId="65"/>
    <cellStyle name="Процентный 5 2 2" xfId="489"/>
    <cellStyle name="Процентный 5 3" xfId="66"/>
    <cellStyle name="Процентный 5 3 2" xfId="552"/>
    <cellStyle name="Процентный 5 4" xfId="551"/>
    <cellStyle name="Процентный 5 5" xfId="608"/>
    <cellStyle name="Процентный 6" xfId="67"/>
    <cellStyle name="Процентный 6 2" xfId="329"/>
    <cellStyle name="Процентный 6 2 2" xfId="490"/>
    <cellStyle name="Процентный 7" xfId="68"/>
    <cellStyle name="Процентный 8" xfId="69"/>
    <cellStyle name="Процентный 9" xfId="330"/>
    <cellStyle name="Связанная ячейка 2" xfId="431"/>
    <cellStyle name="Стиль 1" xfId="70"/>
    <cellStyle name="Стиль 1 2" xfId="71"/>
    <cellStyle name="Стиль 1 2 2" xfId="331"/>
    <cellStyle name="Стиль 1 2 2 2" xfId="553"/>
    <cellStyle name="Стиль 1 2 3" xfId="332"/>
    <cellStyle name="Стиль 1 2 3 2" xfId="554"/>
    <cellStyle name="Стиль 1 2 4" xfId="432"/>
    <cellStyle name="Стиль 1_БДР план МАЙ 2010г" xfId="333"/>
    <cellStyle name="Текст предупреждения 2" xfId="433"/>
    <cellStyle name="Финансовый [0] 2" xfId="605"/>
    <cellStyle name="Финансовый 10" xfId="72"/>
    <cellStyle name="Финансовый 10 2" xfId="555"/>
    <cellStyle name="Финансовый 11" xfId="334"/>
    <cellStyle name="Финансовый 11 2" xfId="335"/>
    <cellStyle name="Финансовый 12" xfId="336"/>
    <cellStyle name="Финансовый 12 2" xfId="491"/>
    <cellStyle name="Финансовый 12 3" xfId="556"/>
    <cellStyle name="Финансовый 13" xfId="337"/>
    <cellStyle name="Финансовый 14" xfId="434"/>
    <cellStyle name="Финансовый 14 2" xfId="492"/>
    <cellStyle name="Финансовый 14 3" xfId="606"/>
    <cellStyle name="Финансовый 15" xfId="497"/>
    <cellStyle name="Финансовый 2" xfId="73"/>
    <cellStyle name="Финансовый 2 2" xfId="74"/>
    <cellStyle name="Финансовый 2 3" xfId="75"/>
    <cellStyle name="Финансовый 2 3 2" xfId="558"/>
    <cellStyle name="Финансовый 2 4" xfId="76"/>
    <cellStyle name="Финансовый 2 5" xfId="557"/>
    <cellStyle name="Финансовый 3" xfId="77"/>
    <cellStyle name="Финансовый 3 2" xfId="338"/>
    <cellStyle name="Финансовый 3 2 2" xfId="339"/>
    <cellStyle name="Финансовый 4" xfId="78"/>
    <cellStyle name="Финансовый 4 2" xfId="340"/>
    <cellStyle name="Финансовый 4 2 2" xfId="560"/>
    <cellStyle name="Финансовый 4 3" xfId="559"/>
    <cellStyle name="Финансовый 5" xfId="79"/>
    <cellStyle name="Финансовый 5 2" xfId="80"/>
    <cellStyle name="Финансовый 5 2 2" xfId="562"/>
    <cellStyle name="Финансовый 5 3" xfId="561"/>
    <cellStyle name="Финансовый 6" xfId="81"/>
    <cellStyle name="Финансовый 6 2" xfId="82"/>
    <cellStyle name="Финансовый 6 2 2" xfId="83"/>
    <cellStyle name="Финансовый 6 2 2 2" xfId="341"/>
    <cellStyle name="Финансовый 6 2 2 2 2" xfId="564"/>
    <cellStyle name="Финансовый 6 2 2 3" xfId="342"/>
    <cellStyle name="Финансовый 6 2 2 4" xfId="343"/>
    <cellStyle name="Финансовый 6 2 2 4 2" xfId="565"/>
    <cellStyle name="Финансовый 6 2 3" xfId="563"/>
    <cellStyle name="Финансовый 6 3" xfId="84"/>
    <cellStyle name="Финансовый 7" xfId="85"/>
    <cellStyle name="Финансовый 7 2" xfId="86"/>
    <cellStyle name="Финансовый 7 2 2" xfId="567"/>
    <cellStyle name="Финансовый 7 3" xfId="1"/>
    <cellStyle name="Финансовый 7 3 2" xfId="344"/>
    <cellStyle name="Финансовый 7 3 3" xfId="568"/>
    <cellStyle name="Финансовый 7 4" xfId="87"/>
    <cellStyle name="Финансовый 7 4 2" xfId="345"/>
    <cellStyle name="Финансовый 7 4 3" xfId="569"/>
    <cellStyle name="Финансовый 7 5" xfId="346"/>
    <cellStyle name="Финансовый 7 5 2" xfId="570"/>
    <cellStyle name="Финансовый 7 6" xfId="347"/>
    <cellStyle name="Финансовый 7 7" xfId="566"/>
    <cellStyle name="Финансовый 8" xfId="88"/>
    <cellStyle name="Финансовый 8 2" xfId="571"/>
    <cellStyle name="Финансовый 9" xfId="89"/>
    <cellStyle name="Финансовый 9 2" xfId="572"/>
    <cellStyle name="Хороший 2" xfId="435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numFmt numFmtId="3" formatCode="#,##0"/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136</xdr:col>
      <xdr:colOff>49527</xdr:colOff>
      <xdr:row>87</xdr:row>
      <xdr:rowOff>133350</xdr:rowOff>
    </xdr:from>
    <xdr:to>
      <xdr:col>136</xdr:col>
      <xdr:colOff>95246</xdr:colOff>
      <xdr:row>100</xdr:row>
      <xdr:rowOff>0</xdr:rowOff>
    </xdr:to>
    <xdr:sp macro="" textlink="">
      <xdr:nvSpPr>
        <xdr:cNvPr id="2" name="Line 24"/>
        <xdr:cNvSpPr>
          <a:spLocks noChangeShapeType="1"/>
        </xdr:cNvSpPr>
      </xdr:nvSpPr>
      <xdr:spPr bwMode="auto">
        <a:xfrm flipH="1">
          <a:off x="13954125" y="15135225"/>
          <a:ext cx="0" cy="1971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136</xdr:col>
      <xdr:colOff>0</xdr:colOff>
      <xdr:row>99</xdr:row>
      <xdr:rowOff>114300</xdr:rowOff>
    </xdr:from>
    <xdr:to>
      <xdr:col>138</xdr:col>
      <xdr:colOff>0</xdr:colOff>
      <xdr:row>99</xdr:row>
      <xdr:rowOff>114300</xdr:rowOff>
    </xdr:to>
    <xdr:sp macro="" textlink="">
      <xdr:nvSpPr>
        <xdr:cNvPr id="3" name="Line 20"/>
        <xdr:cNvSpPr>
          <a:spLocks noChangeShapeType="1"/>
        </xdr:cNvSpPr>
      </xdr:nvSpPr>
      <xdr:spPr bwMode="auto">
        <a:xfrm>
          <a:off x="13954125" y="17059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131</xdr:col>
      <xdr:colOff>20950</xdr:colOff>
      <xdr:row>4</xdr:row>
      <xdr:rowOff>76200</xdr:rowOff>
    </xdr:from>
    <xdr:to>
      <xdr:col>131</xdr:col>
      <xdr:colOff>47619</xdr:colOff>
      <xdr:row>16</xdr:row>
      <xdr:rowOff>19050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3954125" y="1009650"/>
          <a:ext cx="0" cy="1657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134</xdr:col>
      <xdr:colOff>19048</xdr:colOff>
      <xdr:row>5</xdr:row>
      <xdr:rowOff>95250</xdr:rowOff>
    </xdr:from>
    <xdr:to>
      <xdr:col>134</xdr:col>
      <xdr:colOff>26667</xdr:colOff>
      <xdr:row>9</xdr:row>
      <xdr:rowOff>0</xdr:rowOff>
    </xdr:to>
    <xdr:sp macro="" textlink="">
      <xdr:nvSpPr>
        <xdr:cNvPr id="5" name="Line 24"/>
        <xdr:cNvSpPr>
          <a:spLocks noChangeShapeType="1"/>
        </xdr:cNvSpPr>
      </xdr:nvSpPr>
      <xdr:spPr bwMode="auto">
        <a:xfrm flipH="1">
          <a:off x="13954125" y="119062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137</xdr:col>
      <xdr:colOff>133349</xdr:colOff>
      <xdr:row>7</xdr:row>
      <xdr:rowOff>152400</xdr:rowOff>
    </xdr:from>
    <xdr:to>
      <xdr:col>137</xdr:col>
      <xdr:colOff>140968</xdr:colOff>
      <xdr:row>16</xdr:row>
      <xdr:rowOff>0</xdr:rowOff>
    </xdr:to>
    <xdr:sp macro="" textlink="">
      <xdr:nvSpPr>
        <xdr:cNvPr id="6" name="Line 24"/>
        <xdr:cNvSpPr>
          <a:spLocks noChangeShapeType="1"/>
        </xdr:cNvSpPr>
      </xdr:nvSpPr>
      <xdr:spPr bwMode="auto">
        <a:xfrm flipH="1">
          <a:off x="13954125" y="1190625"/>
          <a:ext cx="0" cy="1457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31750</xdr:colOff>
      <xdr:row>16</xdr:row>
      <xdr:rowOff>47625</xdr:rowOff>
    </xdr:from>
    <xdr:to>
      <xdr:col>4</xdr:col>
      <xdr:colOff>142875</xdr:colOff>
      <xdr:row>16</xdr:row>
      <xdr:rowOff>47625</xdr:rowOff>
    </xdr:to>
    <xdr:cxnSp macro="">
      <xdr:nvCxnSpPr>
        <xdr:cNvPr id="7" name="Прямая соединительная линия 6"/>
        <xdr:cNvCxnSpPr/>
      </xdr:nvCxnSpPr>
      <xdr:spPr>
        <a:xfrm>
          <a:off x="527050" y="2695575"/>
          <a:ext cx="1111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22</xdr:row>
      <xdr:rowOff>15875</xdr:rowOff>
    </xdr:from>
    <xdr:to>
      <xdr:col>8</xdr:col>
      <xdr:colOff>0</xdr:colOff>
      <xdr:row>22</xdr:row>
      <xdr:rowOff>15875</xdr:rowOff>
    </xdr:to>
    <xdr:cxnSp macro="">
      <xdr:nvCxnSpPr>
        <xdr:cNvPr id="8" name="Прямая со стрелкой 7" descr="e272c29c-2aa1-4322-af57-e23ecefb64b5"/>
        <xdr:cNvCxnSpPr/>
      </xdr:nvCxnSpPr>
      <xdr:spPr>
        <a:xfrm>
          <a:off x="527050" y="3644900"/>
          <a:ext cx="6159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</xdr:colOff>
      <xdr:row>27</xdr:row>
      <xdr:rowOff>13614</xdr:rowOff>
    </xdr:from>
    <xdr:to>
      <xdr:col>61</xdr:col>
      <xdr:colOff>5</xdr:colOff>
      <xdr:row>38</xdr:row>
      <xdr:rowOff>27215</xdr:rowOff>
    </xdr:to>
    <xdr:cxnSp macro="">
      <xdr:nvCxnSpPr>
        <xdr:cNvPr id="9" name="Прямая соединительная линия 8"/>
        <xdr:cNvCxnSpPr/>
      </xdr:nvCxnSpPr>
      <xdr:spPr>
        <a:xfrm rot="5400000" flipH="1" flipV="1">
          <a:off x="8884791" y="5359176"/>
          <a:ext cx="1813826" cy="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149680</xdr:colOff>
      <xdr:row>18</xdr:row>
      <xdr:rowOff>68038</xdr:rowOff>
    </xdr:from>
    <xdr:to>
      <xdr:col>29</xdr:col>
      <xdr:colOff>0</xdr:colOff>
      <xdr:row>22</xdr:row>
      <xdr:rowOff>13608</xdr:rowOff>
    </xdr:to>
    <xdr:cxnSp macro="">
      <xdr:nvCxnSpPr>
        <xdr:cNvPr id="10" name="Прямая соединительная линия 9"/>
        <xdr:cNvCxnSpPr/>
      </xdr:nvCxnSpPr>
      <xdr:spPr>
        <a:xfrm rot="5400000">
          <a:off x="4240668" y="3339875"/>
          <a:ext cx="593270" cy="1224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</xdr:colOff>
      <xdr:row>22</xdr:row>
      <xdr:rowOff>12700</xdr:rowOff>
    </xdr:from>
    <xdr:to>
      <xdr:col>32</xdr:col>
      <xdr:colOff>142875</xdr:colOff>
      <xdr:row>22</xdr:row>
      <xdr:rowOff>12700</xdr:rowOff>
    </xdr:to>
    <xdr:cxnSp macro="">
      <xdr:nvCxnSpPr>
        <xdr:cNvPr id="11" name="Прямая со стрелкой 10" descr="9ff65b29-0ea9-4e09-86d9-a003d4759960"/>
        <xdr:cNvCxnSpPr/>
      </xdr:nvCxnSpPr>
      <xdr:spPr>
        <a:xfrm>
          <a:off x="4546600" y="3641725"/>
          <a:ext cx="6254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3711</xdr:colOff>
      <xdr:row>30</xdr:row>
      <xdr:rowOff>27214</xdr:rowOff>
    </xdr:from>
    <xdr:to>
      <xdr:col>63</xdr:col>
      <xdr:colOff>40822</xdr:colOff>
      <xdr:row>30</xdr:row>
      <xdr:rowOff>31154</xdr:rowOff>
    </xdr:to>
    <xdr:cxnSp macro="">
      <xdr:nvCxnSpPr>
        <xdr:cNvPr id="12" name="Прямая со стрелкой 11" descr="7a83e876-08d9-4993-a37f-a7f632802de8"/>
        <xdr:cNvCxnSpPr/>
      </xdr:nvCxnSpPr>
      <xdr:spPr>
        <a:xfrm flipV="1">
          <a:off x="9795411" y="4951639"/>
          <a:ext cx="360961" cy="39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16</xdr:row>
      <xdr:rowOff>15875</xdr:rowOff>
    </xdr:from>
    <xdr:to>
      <xdr:col>53</xdr:col>
      <xdr:colOff>130175</xdr:colOff>
      <xdr:row>16</xdr:row>
      <xdr:rowOff>15875</xdr:rowOff>
    </xdr:to>
    <xdr:cxnSp macro="">
      <xdr:nvCxnSpPr>
        <xdr:cNvPr id="13" name="Прямая соединительная линия 12"/>
        <xdr:cNvCxnSpPr/>
      </xdr:nvCxnSpPr>
      <xdr:spPr>
        <a:xfrm>
          <a:off x="8515350" y="2663825"/>
          <a:ext cx="1111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13608</xdr:colOff>
      <xdr:row>15</xdr:row>
      <xdr:rowOff>176891</xdr:rowOff>
    </xdr:from>
    <xdr:to>
      <xdr:col>53</xdr:col>
      <xdr:colOff>15084</xdr:colOff>
      <xdr:row>22</xdr:row>
      <xdr:rowOff>2</xdr:rowOff>
    </xdr:to>
    <xdr:cxnSp macro="">
      <xdr:nvCxnSpPr>
        <xdr:cNvPr id="14" name="Прямая соединительная линия 13"/>
        <xdr:cNvCxnSpPr/>
      </xdr:nvCxnSpPr>
      <xdr:spPr>
        <a:xfrm rot="5400000">
          <a:off x="8018065" y="3135709"/>
          <a:ext cx="985161" cy="14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21</xdr:row>
      <xdr:rowOff>142875</xdr:rowOff>
    </xdr:from>
    <xdr:to>
      <xdr:col>56</xdr:col>
      <xdr:colOff>146050</xdr:colOff>
      <xdr:row>21</xdr:row>
      <xdr:rowOff>142875</xdr:rowOff>
    </xdr:to>
    <xdr:cxnSp macro="">
      <xdr:nvCxnSpPr>
        <xdr:cNvPr id="15" name="Прямая со стрелкой 14" descr="764699ba-c6fa-4a38-a111-e8cebf25af81"/>
        <xdr:cNvCxnSpPr/>
      </xdr:nvCxnSpPr>
      <xdr:spPr>
        <a:xfrm>
          <a:off x="8515350" y="3609975"/>
          <a:ext cx="612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26306</xdr:colOff>
      <xdr:row>51</xdr:row>
      <xdr:rowOff>27215</xdr:rowOff>
    </xdr:from>
    <xdr:to>
      <xdr:col>60</xdr:col>
      <xdr:colOff>54429</xdr:colOff>
      <xdr:row>51</xdr:row>
      <xdr:rowOff>29935</xdr:rowOff>
    </xdr:to>
    <xdr:cxnSp macro="">
      <xdr:nvCxnSpPr>
        <xdr:cNvPr id="16" name="Прямая со стрелкой 15" descr="ac1b2b74-f636-4a02-86f9-ae758315de8b"/>
        <xdr:cNvCxnSpPr/>
      </xdr:nvCxnSpPr>
      <xdr:spPr>
        <a:xfrm flipV="1">
          <a:off x="9332231" y="8447315"/>
          <a:ext cx="351973" cy="27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144689</xdr:colOff>
      <xdr:row>55</xdr:row>
      <xdr:rowOff>16783</xdr:rowOff>
    </xdr:from>
    <xdr:to>
      <xdr:col>63</xdr:col>
      <xdr:colOff>13608</xdr:colOff>
      <xdr:row>55</xdr:row>
      <xdr:rowOff>27215</xdr:rowOff>
    </xdr:to>
    <xdr:cxnSp macro="">
      <xdr:nvCxnSpPr>
        <xdr:cNvPr id="17" name="Прямая со стрелкой 16" descr="5c361c31-c761-4ea8-a0f8-83b3d35daa5f"/>
        <xdr:cNvCxnSpPr/>
      </xdr:nvCxnSpPr>
      <xdr:spPr>
        <a:xfrm>
          <a:off x="9774464" y="9217933"/>
          <a:ext cx="354694" cy="10432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5449</xdr:colOff>
      <xdr:row>22</xdr:row>
      <xdr:rowOff>155120</xdr:rowOff>
    </xdr:from>
    <xdr:to>
      <xdr:col>9</xdr:col>
      <xdr:colOff>13607</xdr:colOff>
      <xdr:row>38</xdr:row>
      <xdr:rowOff>27214</xdr:rowOff>
    </xdr:to>
    <xdr:cxnSp macro="">
      <xdr:nvCxnSpPr>
        <xdr:cNvPr id="18" name="Прямая соединительная линия 17"/>
        <xdr:cNvCxnSpPr/>
      </xdr:nvCxnSpPr>
      <xdr:spPr>
        <a:xfrm rot="16200000" flipH="1">
          <a:off x="73481" y="5021038"/>
          <a:ext cx="2481944" cy="81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</xdr:colOff>
      <xdr:row>30</xdr:row>
      <xdr:rowOff>0</xdr:rowOff>
    </xdr:from>
    <xdr:to>
      <xdr:col>10</xdr:col>
      <xdr:colOff>149679</xdr:colOff>
      <xdr:row>30</xdr:row>
      <xdr:rowOff>13607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1320800" y="4924425"/>
          <a:ext cx="295729" cy="136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</xdr:colOff>
      <xdr:row>33</xdr:row>
      <xdr:rowOff>156482</xdr:rowOff>
    </xdr:from>
    <xdr:to>
      <xdr:col>10</xdr:col>
      <xdr:colOff>142875</xdr:colOff>
      <xdr:row>33</xdr:row>
      <xdr:rowOff>156482</xdr:rowOff>
    </xdr:to>
    <xdr:cxnSp macro="">
      <xdr:nvCxnSpPr>
        <xdr:cNvPr id="20" name="Прямая соединительная линия 19"/>
        <xdr:cNvCxnSpPr/>
      </xdr:nvCxnSpPr>
      <xdr:spPr>
        <a:xfrm>
          <a:off x="1336675" y="5576207"/>
          <a:ext cx="2730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</xdr:colOff>
      <xdr:row>38</xdr:row>
      <xdr:rowOff>9978</xdr:rowOff>
    </xdr:from>
    <xdr:to>
      <xdr:col>10</xdr:col>
      <xdr:colOff>146050</xdr:colOff>
      <xdr:row>38</xdr:row>
      <xdr:rowOff>9978</xdr:rowOff>
    </xdr:to>
    <xdr:cxnSp macro="">
      <xdr:nvCxnSpPr>
        <xdr:cNvPr id="21" name="Прямая соединительная линия 20"/>
        <xdr:cNvCxnSpPr/>
      </xdr:nvCxnSpPr>
      <xdr:spPr>
        <a:xfrm>
          <a:off x="1339850" y="6248853"/>
          <a:ext cx="2730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13608</xdr:colOff>
      <xdr:row>16</xdr:row>
      <xdr:rowOff>31749</xdr:rowOff>
    </xdr:from>
    <xdr:to>
      <xdr:col>4</xdr:col>
      <xdr:colOff>15881</xdr:colOff>
      <xdr:row>22</xdr:row>
      <xdr:rowOff>27214</xdr:rowOff>
    </xdr:to>
    <xdr:cxnSp macro="">
      <xdr:nvCxnSpPr>
        <xdr:cNvPr id="22" name="Прямая соединительная линия 21"/>
        <xdr:cNvCxnSpPr/>
      </xdr:nvCxnSpPr>
      <xdr:spPr>
        <a:xfrm rot="5400000">
          <a:off x="21775" y="3166832"/>
          <a:ext cx="976540" cy="227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149680</xdr:colOff>
      <xdr:row>27</xdr:row>
      <xdr:rowOff>13608</xdr:rowOff>
    </xdr:from>
    <xdr:to>
      <xdr:col>37</xdr:col>
      <xdr:colOff>13607</xdr:colOff>
      <xdr:row>50</xdr:row>
      <xdr:rowOff>13607</xdr:rowOff>
    </xdr:to>
    <xdr:cxnSp macro="">
      <xdr:nvCxnSpPr>
        <xdr:cNvPr id="23" name="Прямая соединительная линия 22"/>
        <xdr:cNvCxnSpPr/>
      </xdr:nvCxnSpPr>
      <xdr:spPr>
        <a:xfrm rot="5400000">
          <a:off x="3996419" y="6349094"/>
          <a:ext cx="3819524" cy="258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13722</xdr:colOff>
      <xdr:row>39</xdr:row>
      <xdr:rowOff>6184</xdr:rowOff>
    </xdr:from>
    <xdr:to>
      <xdr:col>64</xdr:col>
      <xdr:colOff>27217</xdr:colOff>
      <xdr:row>47</xdr:row>
      <xdr:rowOff>27216</xdr:rowOff>
    </xdr:to>
    <xdr:cxnSp macro="">
      <xdr:nvCxnSpPr>
        <xdr:cNvPr id="24" name="Прямая соединительная линия 23"/>
        <xdr:cNvCxnSpPr/>
      </xdr:nvCxnSpPr>
      <xdr:spPr>
        <a:xfrm rot="16200000" flipH="1">
          <a:off x="9601629" y="7096552"/>
          <a:ext cx="1392632" cy="134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153306</xdr:colOff>
      <xdr:row>25</xdr:row>
      <xdr:rowOff>161926</xdr:rowOff>
    </xdr:from>
    <xdr:to>
      <xdr:col>11</xdr:col>
      <xdr:colOff>0</xdr:colOff>
      <xdr:row>26</xdr:row>
      <xdr:rowOff>13607</xdr:rowOff>
    </xdr:to>
    <xdr:cxnSp macro="">
      <xdr:nvCxnSpPr>
        <xdr:cNvPr id="25" name="Прямая соединительная линия 24"/>
        <xdr:cNvCxnSpPr/>
      </xdr:nvCxnSpPr>
      <xdr:spPr>
        <a:xfrm>
          <a:off x="1296306" y="4276726"/>
          <a:ext cx="332469" cy="136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54430</xdr:colOff>
      <xdr:row>22</xdr:row>
      <xdr:rowOff>149680</xdr:rowOff>
    </xdr:from>
    <xdr:to>
      <xdr:col>99</xdr:col>
      <xdr:colOff>10145</xdr:colOff>
      <xdr:row>22</xdr:row>
      <xdr:rowOff>149680</xdr:rowOff>
    </xdr:to>
    <xdr:cxnSp macro="">
      <xdr:nvCxnSpPr>
        <xdr:cNvPr id="26" name="Прямая со стрелкой 25" descr="7a83e876-08d9-4993-a37f-a7f632802de8"/>
        <xdr:cNvCxnSpPr/>
      </xdr:nvCxnSpPr>
      <xdr:spPr>
        <a:xfrm>
          <a:off x="13954125" y="3778705"/>
          <a:ext cx="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26</xdr:row>
      <xdr:rowOff>13607</xdr:rowOff>
    </xdr:from>
    <xdr:to>
      <xdr:col>60</xdr:col>
      <xdr:colOff>54429</xdr:colOff>
      <xdr:row>26</xdr:row>
      <xdr:rowOff>27214</xdr:rowOff>
    </xdr:to>
    <xdr:cxnSp macro="">
      <xdr:nvCxnSpPr>
        <xdr:cNvPr id="27" name="Прямая со стрелкой 26" descr="7a83e876-08d9-4993-a37f-a7f632802de8"/>
        <xdr:cNvCxnSpPr/>
      </xdr:nvCxnSpPr>
      <xdr:spPr>
        <a:xfrm flipV="1">
          <a:off x="9305925" y="4290332"/>
          <a:ext cx="378279" cy="13607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3603</xdr:colOff>
      <xdr:row>30</xdr:row>
      <xdr:rowOff>7426</xdr:rowOff>
    </xdr:from>
    <xdr:to>
      <xdr:col>39</xdr:col>
      <xdr:colOff>13607</xdr:colOff>
      <xdr:row>30</xdr:row>
      <xdr:rowOff>13607</xdr:rowOff>
    </xdr:to>
    <xdr:cxnSp macro="">
      <xdr:nvCxnSpPr>
        <xdr:cNvPr id="28" name="Прямая соединительная линия 27"/>
        <xdr:cNvCxnSpPr/>
      </xdr:nvCxnSpPr>
      <xdr:spPr>
        <a:xfrm rot="10800000">
          <a:off x="5909103" y="4931851"/>
          <a:ext cx="333854" cy="61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27216</xdr:colOff>
      <xdr:row>34</xdr:row>
      <xdr:rowOff>13607</xdr:rowOff>
    </xdr:from>
    <xdr:to>
      <xdr:col>39</xdr:col>
      <xdr:colOff>-1</xdr:colOff>
      <xdr:row>34</xdr:row>
      <xdr:rowOff>13607</xdr:rowOff>
    </xdr:to>
    <xdr:cxnSp macro="">
      <xdr:nvCxnSpPr>
        <xdr:cNvPr id="29" name="Прямая соединительная линия 28"/>
        <xdr:cNvCxnSpPr/>
      </xdr:nvCxnSpPr>
      <xdr:spPr>
        <a:xfrm rot="10800000">
          <a:off x="5932716" y="5595257"/>
          <a:ext cx="296633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124737</xdr:colOff>
      <xdr:row>34</xdr:row>
      <xdr:rowOff>26765</xdr:rowOff>
    </xdr:from>
    <xdr:to>
      <xdr:col>98</xdr:col>
      <xdr:colOff>27215</xdr:colOff>
      <xdr:row>34</xdr:row>
      <xdr:rowOff>27213</xdr:rowOff>
    </xdr:to>
    <xdr:cxnSp macro="">
      <xdr:nvCxnSpPr>
        <xdr:cNvPr id="30" name="Прямая соединительная линия 29"/>
        <xdr:cNvCxnSpPr/>
      </xdr:nvCxnSpPr>
      <xdr:spPr>
        <a:xfrm>
          <a:off x="13954125" y="5608415"/>
          <a:ext cx="0" cy="44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13608</xdr:colOff>
      <xdr:row>23</xdr:row>
      <xdr:rowOff>27215</xdr:rowOff>
    </xdr:from>
    <xdr:to>
      <xdr:col>58</xdr:col>
      <xdr:colOff>27214</xdr:colOff>
      <xdr:row>63</xdr:row>
      <xdr:rowOff>13607</xdr:rowOff>
    </xdr:to>
    <xdr:cxnSp macro="">
      <xdr:nvCxnSpPr>
        <xdr:cNvPr id="31" name="Прямая соединительная линия 30"/>
        <xdr:cNvCxnSpPr/>
      </xdr:nvCxnSpPr>
      <xdr:spPr>
        <a:xfrm rot="5400000" flipH="1" flipV="1">
          <a:off x="5775552" y="7362146"/>
          <a:ext cx="7101567" cy="136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27214</xdr:colOff>
      <xdr:row>26</xdr:row>
      <xdr:rowOff>149680</xdr:rowOff>
    </xdr:from>
    <xdr:to>
      <xdr:col>97</xdr:col>
      <xdr:colOff>95249</xdr:colOff>
      <xdr:row>27</xdr:row>
      <xdr:rowOff>0</xdr:rowOff>
    </xdr:to>
    <xdr:cxnSp macro="">
      <xdr:nvCxnSpPr>
        <xdr:cNvPr id="32" name="Прямая соединительная линия 31"/>
        <xdr:cNvCxnSpPr/>
      </xdr:nvCxnSpPr>
      <xdr:spPr>
        <a:xfrm>
          <a:off x="13954125" y="4426405"/>
          <a:ext cx="0" cy="1224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149678</xdr:colOff>
      <xdr:row>34</xdr:row>
      <xdr:rowOff>27214</xdr:rowOff>
    </xdr:from>
    <xdr:to>
      <xdr:col>63</xdr:col>
      <xdr:colOff>23503</xdr:colOff>
      <xdr:row>34</xdr:row>
      <xdr:rowOff>31154</xdr:rowOff>
    </xdr:to>
    <xdr:cxnSp macro="">
      <xdr:nvCxnSpPr>
        <xdr:cNvPr id="33" name="Прямая со стрелкой 32" descr="7a83e876-08d9-4993-a37f-a7f632802de8"/>
        <xdr:cNvCxnSpPr/>
      </xdr:nvCxnSpPr>
      <xdr:spPr>
        <a:xfrm flipV="1">
          <a:off x="9779453" y="5608864"/>
          <a:ext cx="359600" cy="39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38</xdr:row>
      <xdr:rowOff>13607</xdr:rowOff>
    </xdr:from>
    <xdr:to>
      <xdr:col>63</xdr:col>
      <xdr:colOff>37111</xdr:colOff>
      <xdr:row>38</xdr:row>
      <xdr:rowOff>17547</xdr:rowOff>
    </xdr:to>
    <xdr:cxnSp macro="">
      <xdr:nvCxnSpPr>
        <xdr:cNvPr id="34" name="Прямая со стрелкой 33" descr="7a83e876-08d9-4993-a37f-a7f632802de8"/>
        <xdr:cNvCxnSpPr/>
      </xdr:nvCxnSpPr>
      <xdr:spPr>
        <a:xfrm flipV="1">
          <a:off x="9791700" y="6252482"/>
          <a:ext cx="360961" cy="39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13498</xdr:colOff>
      <xdr:row>41</xdr:row>
      <xdr:rowOff>13607</xdr:rowOff>
    </xdr:from>
    <xdr:to>
      <xdr:col>66</xdr:col>
      <xdr:colOff>27215</xdr:colOff>
      <xdr:row>41</xdr:row>
      <xdr:rowOff>21031</xdr:rowOff>
    </xdr:to>
    <xdr:cxnSp macro="">
      <xdr:nvCxnSpPr>
        <xdr:cNvPr id="35" name="Прямая соединительная линия 34"/>
        <xdr:cNvCxnSpPr/>
      </xdr:nvCxnSpPr>
      <xdr:spPr>
        <a:xfrm rot="10800000" flipV="1">
          <a:off x="10290973" y="6738257"/>
          <a:ext cx="337567" cy="7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43436</xdr:colOff>
      <xdr:row>44</xdr:row>
      <xdr:rowOff>10145</xdr:rowOff>
    </xdr:from>
    <xdr:to>
      <xdr:col>66</xdr:col>
      <xdr:colOff>1</xdr:colOff>
      <xdr:row>44</xdr:row>
      <xdr:rowOff>13607</xdr:rowOff>
    </xdr:to>
    <xdr:cxnSp macro="">
      <xdr:nvCxnSpPr>
        <xdr:cNvPr id="36" name="Прямая соединительная линия 35"/>
        <xdr:cNvCxnSpPr/>
      </xdr:nvCxnSpPr>
      <xdr:spPr>
        <a:xfrm rot="10800000">
          <a:off x="10320911" y="7287245"/>
          <a:ext cx="280415" cy="346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32551</xdr:colOff>
      <xdr:row>46</xdr:row>
      <xdr:rowOff>162545</xdr:rowOff>
    </xdr:from>
    <xdr:to>
      <xdr:col>65</xdr:col>
      <xdr:colOff>152402</xdr:colOff>
      <xdr:row>47</xdr:row>
      <xdr:rowOff>2721</xdr:rowOff>
    </xdr:to>
    <xdr:cxnSp macro="">
      <xdr:nvCxnSpPr>
        <xdr:cNvPr id="37" name="Прямая соединительная линия 36"/>
        <xdr:cNvCxnSpPr/>
      </xdr:nvCxnSpPr>
      <xdr:spPr>
        <a:xfrm rot="10800000">
          <a:off x="10310026" y="7773020"/>
          <a:ext cx="281776" cy="21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0</xdr:colOff>
      <xdr:row>36</xdr:row>
      <xdr:rowOff>0</xdr:rowOff>
    </xdr:from>
    <xdr:to>
      <xdr:col>98</xdr:col>
      <xdr:colOff>2268</xdr:colOff>
      <xdr:row>36</xdr:row>
      <xdr:rowOff>0</xdr:rowOff>
    </xdr:to>
    <xdr:cxnSp macro="">
      <xdr:nvCxnSpPr>
        <xdr:cNvPr id="38" name="Прямая соединительная линия 37"/>
        <xdr:cNvCxnSpPr/>
      </xdr:nvCxnSpPr>
      <xdr:spPr>
        <a:xfrm>
          <a:off x="13954125" y="5905500"/>
          <a:ext cx="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38</xdr:row>
      <xdr:rowOff>13607</xdr:rowOff>
    </xdr:from>
    <xdr:to>
      <xdr:col>38</xdr:col>
      <xdr:colOff>149676</xdr:colOff>
      <xdr:row>38</xdr:row>
      <xdr:rowOff>13607</xdr:rowOff>
    </xdr:to>
    <xdr:cxnSp macro="">
      <xdr:nvCxnSpPr>
        <xdr:cNvPr id="39" name="Прямая соединительная линия 38"/>
        <xdr:cNvCxnSpPr/>
      </xdr:nvCxnSpPr>
      <xdr:spPr>
        <a:xfrm rot="10800000">
          <a:off x="5919107" y="6252482"/>
          <a:ext cx="297994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27218</xdr:colOff>
      <xdr:row>42</xdr:row>
      <xdr:rowOff>27214</xdr:rowOff>
    </xdr:from>
    <xdr:to>
      <xdr:col>39</xdr:col>
      <xdr:colOff>13607</xdr:colOff>
      <xdr:row>42</xdr:row>
      <xdr:rowOff>27214</xdr:rowOff>
    </xdr:to>
    <xdr:cxnSp macro="">
      <xdr:nvCxnSpPr>
        <xdr:cNvPr id="40" name="Прямая соединительная линия 39"/>
        <xdr:cNvCxnSpPr/>
      </xdr:nvCxnSpPr>
      <xdr:spPr>
        <a:xfrm rot="10800000">
          <a:off x="5932718" y="6913789"/>
          <a:ext cx="31023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46</xdr:row>
      <xdr:rowOff>13607</xdr:rowOff>
    </xdr:from>
    <xdr:to>
      <xdr:col>39</xdr:col>
      <xdr:colOff>13603</xdr:colOff>
      <xdr:row>46</xdr:row>
      <xdr:rowOff>13607</xdr:rowOff>
    </xdr:to>
    <xdr:cxnSp macro="">
      <xdr:nvCxnSpPr>
        <xdr:cNvPr id="41" name="Прямая соединительная линия 40"/>
        <xdr:cNvCxnSpPr/>
      </xdr:nvCxnSpPr>
      <xdr:spPr>
        <a:xfrm rot="10800000">
          <a:off x="5932714" y="7624082"/>
          <a:ext cx="31023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50</xdr:row>
      <xdr:rowOff>13607</xdr:rowOff>
    </xdr:from>
    <xdr:to>
      <xdr:col>39</xdr:col>
      <xdr:colOff>27210</xdr:colOff>
      <xdr:row>50</xdr:row>
      <xdr:rowOff>13607</xdr:rowOff>
    </xdr:to>
    <xdr:cxnSp macro="">
      <xdr:nvCxnSpPr>
        <xdr:cNvPr id="42" name="Прямая соединительная линия 41"/>
        <xdr:cNvCxnSpPr/>
      </xdr:nvCxnSpPr>
      <xdr:spPr>
        <a:xfrm rot="10800000">
          <a:off x="5946321" y="8271782"/>
          <a:ext cx="31023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13610</xdr:colOff>
      <xdr:row>52</xdr:row>
      <xdr:rowOff>27217</xdr:rowOff>
    </xdr:from>
    <xdr:to>
      <xdr:col>61</xdr:col>
      <xdr:colOff>27213</xdr:colOff>
      <xdr:row>58</xdr:row>
      <xdr:rowOff>217715</xdr:rowOff>
    </xdr:to>
    <xdr:cxnSp macro="">
      <xdr:nvCxnSpPr>
        <xdr:cNvPr id="43" name="Прямая соединительная линия 42"/>
        <xdr:cNvCxnSpPr/>
      </xdr:nvCxnSpPr>
      <xdr:spPr>
        <a:xfrm rot="5400000" flipH="1" flipV="1">
          <a:off x="9064400" y="9350152"/>
          <a:ext cx="1495423" cy="136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161018</xdr:colOff>
      <xdr:row>58</xdr:row>
      <xdr:rowOff>210005</xdr:rowOff>
    </xdr:from>
    <xdr:to>
      <xdr:col>63</xdr:col>
      <xdr:colOff>29937</xdr:colOff>
      <xdr:row>58</xdr:row>
      <xdr:rowOff>220437</xdr:rowOff>
    </xdr:to>
    <xdr:cxnSp macro="">
      <xdr:nvCxnSpPr>
        <xdr:cNvPr id="44" name="Прямая со стрелкой 43" descr="5c361c31-c761-4ea8-a0f8-83b3d35daa5f"/>
        <xdr:cNvCxnSpPr/>
      </xdr:nvCxnSpPr>
      <xdr:spPr>
        <a:xfrm>
          <a:off x="9790793" y="10096955"/>
          <a:ext cx="354694" cy="10432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151492</xdr:colOff>
      <xdr:row>63</xdr:row>
      <xdr:rowOff>16329</xdr:rowOff>
    </xdr:from>
    <xdr:to>
      <xdr:col>60</xdr:col>
      <xdr:colOff>16329</xdr:colOff>
      <xdr:row>63</xdr:row>
      <xdr:rowOff>19049</xdr:rowOff>
    </xdr:to>
    <xdr:cxnSp macro="">
      <xdr:nvCxnSpPr>
        <xdr:cNvPr id="45" name="Прямая со стрелкой 44" descr="ac1b2b74-f636-4a02-86f9-ae758315de8b"/>
        <xdr:cNvCxnSpPr/>
      </xdr:nvCxnSpPr>
      <xdr:spPr>
        <a:xfrm flipV="1">
          <a:off x="9295492" y="10922454"/>
          <a:ext cx="350612" cy="27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190499</xdr:colOff>
      <xdr:row>23</xdr:row>
      <xdr:rowOff>13611</xdr:rowOff>
    </xdr:from>
    <xdr:to>
      <xdr:col>33</xdr:col>
      <xdr:colOff>217712</xdr:colOff>
      <xdr:row>54</xdr:row>
      <xdr:rowOff>13608</xdr:rowOff>
    </xdr:to>
    <xdr:cxnSp macro="">
      <xdr:nvCxnSpPr>
        <xdr:cNvPr id="46" name="Прямая соединительная линия 45"/>
        <xdr:cNvCxnSpPr/>
      </xdr:nvCxnSpPr>
      <xdr:spPr>
        <a:xfrm rot="5400000" flipH="1" flipV="1">
          <a:off x="2804432" y="6381753"/>
          <a:ext cx="5181597" cy="272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220435</xdr:colOff>
      <xdr:row>26</xdr:row>
      <xdr:rowOff>2721</xdr:rowOff>
    </xdr:from>
    <xdr:to>
      <xdr:col>36</xdr:col>
      <xdr:colOff>43543</xdr:colOff>
      <xdr:row>26</xdr:row>
      <xdr:rowOff>16328</xdr:rowOff>
    </xdr:to>
    <xdr:cxnSp macro="">
      <xdr:nvCxnSpPr>
        <xdr:cNvPr id="47" name="Прямая со стрелкой 46" descr="7a83e876-08d9-4993-a37f-a7f632802de8"/>
        <xdr:cNvCxnSpPr/>
      </xdr:nvCxnSpPr>
      <xdr:spPr>
        <a:xfrm flipV="1">
          <a:off x="5411560" y="4279446"/>
          <a:ext cx="375558" cy="13607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217713</xdr:colOff>
      <xdr:row>54</xdr:row>
      <xdr:rowOff>0</xdr:rowOff>
    </xdr:from>
    <xdr:to>
      <xdr:col>36</xdr:col>
      <xdr:colOff>40821</xdr:colOff>
      <xdr:row>54</xdr:row>
      <xdr:rowOff>13607</xdr:rowOff>
    </xdr:to>
    <xdr:cxnSp macro="">
      <xdr:nvCxnSpPr>
        <xdr:cNvPr id="48" name="Прямая со стрелкой 47" descr="7a83e876-08d9-4993-a37f-a7f632802de8"/>
        <xdr:cNvCxnSpPr/>
      </xdr:nvCxnSpPr>
      <xdr:spPr>
        <a:xfrm flipV="1">
          <a:off x="5408838" y="8972550"/>
          <a:ext cx="375558" cy="13607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D\1cv77\&#1044;&#1077;&#1082;&#1072;&#1073;&#1088;&#1100;\&#1042;&#1077;&#1076;&#1086;&#1084;&#1086;&#1089;&#1090;&#1100;%20&#1079;&#1072;&#1088;&#1087;&#1083;&#1072;&#1090;&#1099;%20&#1040;&#1057;&#1059;&#1055;%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&#1058;&#1088;&#1080;%20&#1084;&#1077;&#1076;&#1074;&#1077;&#1076;&#1103;\&#1060;&#1080;&#1085;&#1072;&#1085;&#1089;&#1086;&#1074;&#1099;&#1081;%20&#1076;&#1077;&#1087;&#1072;&#1088;&#1090;&#1072;&#1084;&#1077;&#1085;&#1090;\&#1060;&#1080;&#1085;&#1072;&#1085;&#1089;&#1086;&#1074;&#1099;&#1081;%20&#1086;&#1090;&#1076;&#1077;&#1083;\&#1056;&#1072;&#1089;&#1087;&#1086;&#1088;&#1103;&#1078;&#1077;&#1085;&#1080;&#1103;%20&#1085;&#1072;%20&#1086;&#1087;&#1083;&#1072;&#1090;&#1091;\&#1053;&#1086;&#1103;&#1073;&#1088;&#1100;\&#1043;&#1088;&#1072;&#1092;&#1080;&#1082;%20&#1087;&#1086;&#1075;&#1072;&#1096;&#1077;&#1085;&#1080;&#1103;%20&#1082;&#1088;&#1077;&#1076;&#1080;&#1090;&#1086;&#1074;%20&#1085;&#1072;%20&#1084;&#1072;&#1088;&#1090;%20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Users\Users\Users\&#1058;&#1088;&#1080;%20&#1084;&#1077;&#1076;&#1074;&#1077;&#1076;&#1103;\&#1060;&#1080;&#1085;&#1072;&#1085;&#1089;&#1086;&#1074;&#1099;&#1081;%20&#1076;&#1077;&#1087;&#1072;&#1088;&#1090;&#1072;&#1084;&#1077;&#1085;&#1090;\&#1060;&#1080;&#1085;&#1072;&#1085;&#1089;&#1086;&#1074;&#1099;&#1081;%20&#1086;&#1090;&#1076;&#1077;&#1083;\&#1054;&#1073;&#1097;&#1072;&#1103;2\&#1055;&#1083;&#1072;&#1085;&#1080;&#1088;&#1086;&#1074;&#1072;&#1085;&#1080;&#1077;\&#1044;&#1077;&#1082;&#1072;&#1073;&#1088;&#1100;%202009\&#1041;&#1060;&#1052;\&#1041;&#1102;&#1076;&#1078;&#1077;&#1090;%20&#1076;&#1077;&#1082;&#1072;&#1073;&#1088;&#1100;2009-&#1092;&#1077;&#1074;&#1088;&#1072;&#1083;&#1100;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1;&#1102;&#1076;&#1078;&#1077;&#1090;%20&#1076;&#1077;&#1082;&#1072;&#1073;&#1088;&#1100;2009-&#1092;&#1077;&#1074;&#1088;&#1072;&#1083;&#1100;2010%20(&#1087;&#1088;&#1077;&#1076;&#1074;&#1072;&#1088;&#1080;&#1090;&#1077;&#1083;&#1100;&#1085;&#1099;&#1081;)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FINANCE\2005\10-&#1054;&#1050;&#1058;&#1071;&#1041;&#1056;&#1068;%202005\&#1054;&#1090;&#1095;&#1077;&#1090;&#1085;&#1086;&#1089;&#1090;&#1100;_&#1054;&#1050;&#1058;&#1071;&#1041;&#1056;&#1068;\&#1054;&#1090;&#1095;&#1077;&#1090;&#1085;&#1086;&#1089;&#1090;&#1100;_&#1086;&#1082;&#1090;&#1103;&#1073;&#1088;&#110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FINANCE\&#1052;&#1040;&#1049;%202005\&#1054;&#1090;&#1095;&#1077;&#1090;&#1085;&#1086;&#1089;&#1090;&#1100;\&#1054;&#1090;&#1095;&#1077;&#1090;&#1085;&#1086;&#1089;&#1090;&#1100;_&#1084;&#1072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s\FINANCE\2005\06-&#1048;&#1070;&#1053;&#1068;%202005\&#1054;&#1090;&#1095;&#1077;&#1090;&#1085;&#1086;&#1089;&#1090;&#1100;%20&#1080;&#1102;&#1085;&#1100;\&#1054;&#1090;&#1095;&#1077;&#1090;&#1085;&#1086;&#1089;&#1090;&#1100;_&#1080;&#1102;&#1085;&#11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97;&#1072;&#1103;2/&#1055;&#1083;&#1072;&#1085;&#1080;&#1088;&#1086;&#1074;&#1072;&#1085;&#1080;&#1077;%202013/&#1044;&#1077;&#1082;&#1072;&#1073;&#1088;&#1100;%202013/&#1060;&#1080;&#1085;&#1072;&#1085;&#1089;&#1086;&#1074;&#1099;&#1081;%20&#1087;&#1083;&#1072;&#1085;%20&#1044;&#1077;&#1082;&#1072;&#1073;&#1088;&#1100;%20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48;&#1041;\&#1060;&#1080;&#1085;&#1072;&#1085;&#1089;&#1086;&#1074;&#1072;&#1103;%20&#1101;&#1092;&#1092;&#1077;&#1082;&#1090;&#1080;&#1074;&#1085;&#1086;&#1089;&#1090;&#1100;%202011%202012%20(&#1040;&#1074;&#1090;&#1086;&#1089;&#1086;&#1093;&#1088;&#1072;&#1085;&#1077;&#1085;&#1085;&#1099;&#1081;)%20(&#1040;&#1074;&#1090;&#1086;&#1089;&#1086;&#1093;&#1088;&#1072;&#1085;&#1077;&#1085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плата октябрь 2006"/>
      <sheetName val="Зарплата ноябрь 2006"/>
      <sheetName val="Зарплата декабрь 2006"/>
      <sheetName val="ЦФО"/>
      <sheetName val="Выполнение бюджета прибыли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ЦЗ Киевский филиал обработки информации</v>
          </cell>
        </row>
        <row r="5">
          <cell r="A5" t="str">
            <v>ЦЗ Киевский филиал общий</v>
          </cell>
        </row>
        <row r="6">
          <cell r="A6" t="str">
            <v>ЦЗ Киевский филиал розница</v>
          </cell>
        </row>
        <row r="7">
          <cell r="A7" t="str">
            <v>ЦЗ Киевский филиал транспорт</v>
          </cell>
        </row>
        <row r="8">
          <cell r="A8" t="str">
            <v>ЦЗ Киевский филиал экспедиция</v>
          </cell>
        </row>
        <row r="9">
          <cell r="A9" t="str">
            <v>ЦЗ Львовский филиал общие</v>
          </cell>
        </row>
        <row r="10">
          <cell r="A10" t="str">
            <v>ЦЗ Налоги</v>
          </cell>
        </row>
        <row r="11">
          <cell r="A11" t="str">
            <v>ЦЗ Общие "Три медведя"</v>
          </cell>
        </row>
        <row r="12">
          <cell r="A12" t="str">
            <v>ЦЗ Опт</v>
          </cell>
        </row>
        <row r="13">
          <cell r="A13" t="str">
            <v>ЦЗ Отдел Автоматизации системы управления предприятием</v>
          </cell>
        </row>
        <row r="14">
          <cell r="A14" t="str">
            <v>ЦЗ Отдел логистики</v>
          </cell>
        </row>
        <row r="15">
          <cell r="A15" t="str">
            <v>ЦЗ Отдел охраны труда</v>
          </cell>
        </row>
        <row r="16">
          <cell r="A16" t="str">
            <v>ЦЗ Отдел персонала</v>
          </cell>
        </row>
        <row r="17">
          <cell r="A17" t="str">
            <v>ЦЗ Отдел управленческого учета</v>
          </cell>
        </row>
        <row r="18">
          <cell r="A18" t="str">
            <v>ЦЗ Под руководством Курило общие</v>
          </cell>
        </row>
        <row r="19">
          <cell r="A19" t="str">
            <v>ЦЗ Продажи Общие</v>
          </cell>
        </row>
        <row r="20">
          <cell r="A20" t="str">
            <v>ЦЗ Производство и развитие общие</v>
          </cell>
        </row>
        <row r="21">
          <cell r="A21" t="str">
            <v>ЦЗ Производство общие</v>
          </cell>
        </row>
        <row r="22">
          <cell r="A22" t="str">
            <v>ЦЗ Служба закупок</v>
          </cell>
        </row>
        <row r="23">
          <cell r="A23" t="str">
            <v>ЦЗ Служба контроля качества</v>
          </cell>
        </row>
        <row r="24">
          <cell r="A24" t="str">
            <v>ЦЗ Финансово-экономический отдел</v>
          </cell>
        </row>
        <row r="25">
          <cell r="A25" t="str">
            <v>ЦЗ Харьковский филиал общий</v>
          </cell>
        </row>
        <row r="26">
          <cell r="A26" t="str">
            <v>ЦЗ Хозотдел</v>
          </cell>
        </row>
        <row r="27">
          <cell r="A27" t="str">
            <v>ЦЗ Цех по производству ЗПФ</v>
          </cell>
        </row>
        <row r="28">
          <cell r="A28" t="str">
            <v>ЦЗ Цех по производству мороженого</v>
          </cell>
        </row>
        <row r="29">
          <cell r="A29" t="str">
            <v>ЦУЗ Днепропетровский филиал доставка</v>
          </cell>
        </row>
        <row r="30">
          <cell r="A30" t="str">
            <v>ЦУЗ Днепропетровский филиал общий</v>
          </cell>
        </row>
        <row r="31">
          <cell r="A31" t="str">
            <v>ЦУЗ Днепропетровский филиал розница</v>
          </cell>
        </row>
        <row r="32">
          <cell r="A32" t="str">
            <v>ЦУЗ Одесский филиал общий</v>
          </cell>
        </row>
        <row r="33">
          <cell r="A33" t="str">
            <v>ЦУЗ Одесский филиал розница</v>
          </cell>
        </row>
        <row r="34">
          <cell r="A34" t="str">
            <v>ЦУЗ Отдел безопасности</v>
          </cell>
        </row>
        <row r="35">
          <cell r="A35" t="str">
            <v>ЦУЗ Отдел маркетинга</v>
          </cell>
        </row>
        <row r="36">
          <cell r="A36" t="str">
            <v>ЦУЗ Отдел технического обеспечения компьютерных систем</v>
          </cell>
        </row>
        <row r="37">
          <cell r="A37" t="str">
            <v>ЦУЗ Юридический отдел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11"/>
      <sheetName val="12"/>
      <sheetName val="12_"/>
      <sheetName val="01_08"/>
      <sheetName val="02"/>
      <sheetName val="03"/>
      <sheetName val="04"/>
      <sheetName val="05"/>
      <sheetName val="06"/>
      <sheetName val="07"/>
      <sheetName val="08"/>
      <sheetName val="09"/>
      <sheetName val="_10"/>
      <sheetName val="11 "/>
      <sheetName val="коррект 11"/>
      <sheetName val="_12"/>
      <sheetName val="01"/>
      <sheetName val="_02_"/>
      <sheetName val="03_09"/>
      <sheetName val="реестр"/>
      <sheetName val="Лист1"/>
      <sheetName val="Лист2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менная"/>
      <sheetName val="постоянная"/>
      <sheetName val="инвестиции енерг."/>
      <sheetName val="инвестиции мех."/>
      <sheetName val="инв Перееезд ЕМП"/>
      <sheetName val="ос"/>
      <sheetName val="мор,вареники"/>
      <sheetName val="котлеты,пельмени"/>
      <sheetName val="заг.план продаж"/>
      <sheetName val=" расходы"/>
      <sheetName val="Азорской"/>
      <sheetName val="ддс"/>
      <sheetName val="фин. результат"/>
      <sheetName val="Розподіл комунальних витр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менная"/>
      <sheetName val="постоянная"/>
      <sheetName val="инвестиции енерг."/>
      <sheetName val="инвестиции мех."/>
      <sheetName val="инв Перееезд ЕМП"/>
      <sheetName val="ос"/>
      <sheetName val="мор,вареники"/>
      <sheetName val="котлеты,пельмени"/>
      <sheetName val="заг.план продаж"/>
      <sheetName val=" расходы"/>
      <sheetName val="Азорской"/>
      <sheetName val="ддс"/>
      <sheetName val="Розподіл комунальних витр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пка"/>
      <sheetName val="Выполнение бюджета прибыли"/>
      <sheetName val="Отчет о прибыли"/>
      <sheetName val="Себестоимость_Динам"/>
      <sheetName val="Граф_Структура"/>
      <sheetName val="Затраты"/>
      <sheetName val="Затраты (ОБОРОТ)"/>
      <sheetName val="Затраты (КОРРЕКТИРОВКА)"/>
      <sheetName val="Затраты Борисполь"/>
      <sheetName val="Расшифровка"/>
      <sheetName val="Выполнение бюджета"/>
      <sheetName val="Аналитика"/>
      <sheetName val="Лист1"/>
      <sheetName val="Себестоимость"/>
      <sheetName val="Резервы"/>
      <sheetName val="Списание_деб"/>
      <sheetName val="Затраты-черновик"/>
      <sheetName val="Лист2"/>
      <sheetName val="черн"/>
      <sheetName val="Использование прибыли"/>
      <sheetName val="Фин_коэф-ты"/>
      <sheetName val="ФинЦыкл"/>
      <sheetName val="график_осн.показ."/>
      <sheetName val="график рентаб."/>
      <sheetName val="Излишки, недостачи"/>
      <sheetName val="ОС старые"/>
      <sheetName val="ОС новые"/>
      <sheetName val="отклонение по себестоимости"/>
      <sheetName val="анализ продаж"/>
      <sheetName val="анализ себ. отдел продаж"/>
      <sheetName val="анализ себ. снабжение"/>
      <sheetName val="Баланс Старая форма"/>
      <sheetName val="заг.план продаж"/>
    </sheetNames>
    <sheetDataSet>
      <sheetData sheetId="0">
        <row r="3">
          <cell r="A3" t="str">
            <v>ЗА  ОКТЯБРЬ   2005 года</v>
          </cell>
        </row>
      </sheetData>
      <sheetData sheetId="1" refreshError="1">
        <row r="3">
          <cell r="A3" t="str">
            <v>ЗА  ОКТЯБРЬ   2005 года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чень отчетности за месяц"/>
      <sheetName val="Выполнение бюджета прибыли"/>
      <sheetName val="Отчет о прибыли"/>
      <sheetName val="Затраты"/>
      <sheetName val="прочие расходы"/>
      <sheetName val="Расшифровка"/>
      <sheetName val="Фин_коэф-ты"/>
      <sheetName val="Затраты-черновик"/>
      <sheetName val="Лист2"/>
      <sheetName val="черн"/>
      <sheetName val="Использование прибыли"/>
      <sheetName val="график_осн.показ."/>
      <sheetName val="график рентаб."/>
      <sheetName val="Резервы"/>
      <sheetName val="Излишки, недостачи"/>
      <sheetName val="ОС старые"/>
      <sheetName val="ОС новые"/>
      <sheetName val="отклонение по себестоимости"/>
      <sheetName val="анализ продаж"/>
      <sheetName val="анализ себ. отдел продаж"/>
      <sheetName val="анализ себ. снабжение"/>
      <sheetName val="Баланс Старая форма"/>
      <sheetName val="Лист3"/>
      <sheetName val="Фин_коэф-ты(старые)"/>
      <sheetName val="Фин_коэф-ты(абсол)"/>
      <sheetName val="ФинЦыкл"/>
      <sheetName val="ЦФО"/>
    </sheetNames>
    <sheetDataSet>
      <sheetData sheetId="0">
        <row r="3">
          <cell r="A3" t="str">
            <v>за МАЙ 2005 года</v>
          </cell>
        </row>
      </sheetData>
      <sheetData sheetId="1" refreshError="1">
        <row r="3">
          <cell r="A3" t="str">
            <v>за МАЙ 2005 года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еречень отчетности за месяц"/>
      <sheetName val="Выполнение бюджета прибыли"/>
      <sheetName val="Отчет о прибыли"/>
      <sheetName val="Затраты_Продажи"/>
      <sheetName val="Затраты"/>
      <sheetName val="прочие расходы"/>
      <sheetName val="Расшифровка"/>
      <sheetName val="Резервы"/>
      <sheetName val="Списан Деб"/>
      <sheetName val="Затраты-черновик"/>
      <sheetName val="Лист2"/>
      <sheetName val="черн"/>
      <sheetName val="Использование прибыли"/>
      <sheetName val="Фин_коэф-ты"/>
      <sheetName val="ФинЦыкл"/>
      <sheetName val="график_осн.показ."/>
      <sheetName val="график рентаб."/>
      <sheetName val="Излишки, недостачи"/>
      <sheetName val="ОС старые"/>
      <sheetName val="ОС новые"/>
      <sheetName val="отклонение по себестоимости"/>
      <sheetName val="анализ продаж"/>
      <sheetName val="анализ себ. отдел продаж"/>
      <sheetName val="анализ себ. снабжение"/>
      <sheetName val="Баланс Старая форма"/>
      <sheetName val="Ведомость общая (2)"/>
    </sheetNames>
    <sheetDataSet>
      <sheetData sheetId="0" refreshError="1"/>
      <sheetData sheetId="1" refreshError="1"/>
      <sheetData sheetId="2" refreshError="1">
        <row r="3">
          <cell r="A3" t="str">
            <v>за Июнь 2005 года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December 2013"/>
      <sheetName val="P&amp;L month"/>
      <sheetName val="P&amp;L month Dream"/>
      <sheetName val="category 1"/>
      <sheetName val="модель"/>
      <sheetName val="модель УДИ"/>
      <sheetName val="Логистика"/>
      <sheetName val="P&amp;L month коэф"/>
      <sheetName val="For PL"/>
      <sheetName val="For CF"/>
      <sheetName val="Distrib."/>
      <sheetName val="Расходы по каналам"/>
      <sheetName val="Analiz"/>
      <sheetName val="All"/>
      <sheetName val="CF "/>
      <sheetName val="Свод инвест"/>
      <sheetName val="Инвестиции"/>
      <sheetName val="Опл.пост."/>
      <sheetName val="КФ рабочее (5)"/>
      <sheetName val="ремонт ОС12"/>
      <sheetName val="молоко"/>
      <sheetName val="Seals plan"/>
      <sheetName val="Seb"/>
      <sheetName val="Manufactur plan"/>
      <sheetName val="КЗ на 30.11.13"/>
    </sheetNames>
    <sheetDataSet>
      <sheetData sheetId="0"/>
      <sheetData sheetId="1">
        <row r="10">
          <cell r="AB10">
            <v>995019.1906185504</v>
          </cell>
        </row>
      </sheetData>
      <sheetData sheetId="2">
        <row r="65">
          <cell r="AJ65">
            <v>24067135.440000005</v>
          </cell>
        </row>
        <row r="68">
          <cell r="AJ68">
            <v>6149418.3499999996</v>
          </cell>
        </row>
      </sheetData>
      <sheetData sheetId="3">
        <row r="11">
          <cell r="B11">
            <v>1287916.1802150367</v>
          </cell>
        </row>
      </sheetData>
      <sheetData sheetId="4"/>
      <sheetData sheetId="5">
        <row r="15">
          <cell r="B15">
            <v>6897525.9669837784</v>
          </cell>
        </row>
        <row r="38">
          <cell r="B38">
            <v>2665338.4975004434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2011-2012-2013"/>
      <sheetName val="I p&amp;l "/>
      <sheetName val="I balans"/>
      <sheetName val="проект"/>
      <sheetName val="ИП2"/>
      <sheetName val="Marketing Investment"/>
      <sheetName val="ИП трад и СК метод"/>
      <sheetName val="I turnover "/>
      <sheetName val="II sales PG в ПП"/>
      <sheetName val="equipment"/>
      <sheetName val="employees"/>
      <sheetName val="Фин. рез 2012"/>
      <sheetName val="Фин. рез. 2011"/>
      <sheetName val="баланс 2012 по мес"/>
      <sheetName val="баланс 2011"/>
      <sheetName val="Баланс на 31.12.12."/>
      <sheetName val="ДДС не прям 2012 Ф"/>
      <sheetName val="ДДС не прям 2012 Ф (2)"/>
      <sheetName val="Бддс 2012"/>
      <sheetName val="Бддс НЕ ПРЯМОЙ М"/>
      <sheetName val="Бддс НЕ ПРЯМОЙ Result"/>
      <sheetName val="Бддс  2012 для ПП"/>
      <sheetName val="Кред.портфель"/>
      <sheetName val="бюджет"/>
      <sheetName val="Схема"/>
      <sheetName val="Схема (свод)"/>
      <sheetName val="Схема (свод) (2)"/>
      <sheetName val="БДР"/>
    </sheetNames>
    <sheetDataSet>
      <sheetData sheetId="0" refreshError="1"/>
      <sheetData sheetId="1">
        <row r="4">
          <cell r="C4">
            <v>425785644.07500005</v>
          </cell>
        </row>
        <row r="11">
          <cell r="C11">
            <v>83076993.870000064</v>
          </cell>
        </row>
        <row r="13">
          <cell r="C13">
            <v>26832572.145</v>
          </cell>
        </row>
        <row r="14">
          <cell r="C14">
            <v>4130517.6149999993</v>
          </cell>
        </row>
        <row r="16">
          <cell r="C16">
            <v>207640.52999999933</v>
          </cell>
        </row>
        <row r="17">
          <cell r="C17">
            <v>941826.84000000358</v>
          </cell>
        </row>
      </sheetData>
      <sheetData sheetId="2">
        <row r="5">
          <cell r="D5">
            <v>64536057.527999997</v>
          </cell>
        </row>
        <row r="10">
          <cell r="D10">
            <v>84848548.104000017</v>
          </cell>
        </row>
        <row r="11">
          <cell r="D11">
            <v>231028.23599999989</v>
          </cell>
        </row>
        <row r="12">
          <cell r="D12">
            <v>398532.61200000002</v>
          </cell>
        </row>
        <row r="16">
          <cell r="D16">
            <v>32676132.503999997</v>
          </cell>
        </row>
        <row r="22">
          <cell r="D22">
            <v>11364000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55">
          <cell r="F55">
            <v>101940000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.Burdyug" refreshedDate="41696.681239351848" createdVersion="4" refreshedVersion="4" minRefreshableVersion="3" recordCount="1764">
  <cacheSource type="worksheet">
    <worksheetSource ref="A1:Y1048576" sheet="All (2)"/>
  </cacheSource>
  <cacheFields count="25">
    <cacheField name="Год" numFmtId="0">
      <sharedItems containsString="0" containsBlank="1" containsNumber="1" containsInteger="1" minValue="2013" maxValue="2014" count="3">
        <n v="2014"/>
        <n v="2013"/>
        <m/>
      </sharedItems>
    </cacheField>
    <cacheField name="Пост / Пер" numFmtId="0">
      <sharedItems containsBlank="1" count="9">
        <s v="Постоянные"/>
        <s v="Прочие расходы"/>
        <s v="Переменные"/>
        <s v="Прочие доходы"/>
        <s v="Доход от реализации (чистые продажи)"/>
        <s v="Продажи 1 категории"/>
        <s v="Продажи в КГ"/>
        <s v="Производство кг"/>
        <m/>
      </sharedItems>
    </cacheField>
    <cacheField name="Вид деятельности" numFmtId="0">
      <sharedItems containsBlank="1" count="13">
        <s v="Административная деятельность"/>
        <s v="Продажи"/>
        <s v="Прочие расходы"/>
        <s v="Себестоимость"/>
        <s v="Скидка"/>
        <s v="Логистическая деятельность"/>
        <s v="Производственная деятельность"/>
        <s v="Прочие доходы"/>
        <s v="Доход от реализации (чистые продажи)"/>
        <s v="Продажи 1 категории"/>
        <s v="Продажи в КГ"/>
        <s v="Производство кг"/>
        <m/>
      </sharedItems>
    </cacheField>
    <cacheField name="Структура ПНЛ" numFmtId="0">
      <sharedItems containsBlank="1"/>
    </cacheField>
    <cacheField name="Статья ПНЛ" numFmtId="0">
      <sharedItems containsBlank="1"/>
    </cacheField>
    <cacheField name="ЦФО" numFmtId="0">
      <sharedItems containsBlank="1"/>
    </cacheField>
    <cacheField name="Проект" numFmtId="0">
      <sharedItems containsBlank="1" count="4">
        <s v="ТМ"/>
        <s v="Дистрибьюторы"/>
        <s v="Сети"/>
        <m/>
      </sharedItems>
    </cacheField>
    <cacheField name="Статья БДР 1" numFmtId="0">
      <sharedItems containsBlank="1" count="31">
        <s v="Зарплата"/>
        <s v="Командировочные расходы"/>
        <s v="Расходы на маркетинг"/>
        <s v="Расходы на налоги"/>
        <s v="Услуги связи"/>
        <s v="Амортизация"/>
        <s v="Расходы на канцтовары и обслуживание оргтехники"/>
        <s v="Расходы на персонал"/>
        <s v="Расходы на услуги сторонних организаций"/>
        <s v="Аренда"/>
        <s v="Расходы на содержание автопарка"/>
        <s v="Коммунальные расходы"/>
        <s v="Расходы на логистику"/>
        <s v="Расходы на контроль качества"/>
        <s v="Расходы на трейд-маркетинг"/>
        <s v="Расходы на банковское обслуживание"/>
        <s v="Финансовые расходы"/>
        <s v="Ремонт ОС"/>
        <s v="Прочие расходы"/>
        <s v="Себестоимость"/>
        <s v="Скидка"/>
        <s v="Расходы на услуги вет. службы"/>
        <s v="Расходы на списание"/>
        <s v="Расходы по торговым точкам"/>
        <s v="Прочие доходы"/>
        <s v="Доход от реализации (чистые продажи)"/>
        <s v="Продажи 1 категории"/>
        <s v="Продажи в КГ"/>
        <s v="Производство кг"/>
        <s v="Расходы на лабораторные иследования"/>
        <m/>
      </sharedItems>
    </cacheField>
    <cacheField name="Статья БДР 2" numFmtId="0">
      <sharedItems containsBlank="1"/>
    </cacheField>
    <cacheField name="Статья БДР 3" numFmtId="0">
      <sharedItems containsBlank="1" count="124">
        <s v="Зарплата"/>
        <s v="Командировочные расходы"/>
        <s v="Внешний консалтинг"/>
        <s v="Оборотки сетей"/>
        <s v="PR деятельность"/>
        <s v="Наружная реклама"/>
        <s v="Расходы на веб-сайт"/>
        <s v="Расходы на выставку"/>
        <s v="Реклама на радио"/>
        <s v="Реклама на ТВ"/>
        <s v="Дегустации"/>
        <s v="Дизайн продукта"/>
        <s v="Налоги на ФЗП"/>
        <s v="Мобильная связь"/>
        <s v="Исследования агенств"/>
        <s v="Разработка рецептуры"/>
        <s v="Амортизация"/>
        <s v="Расходы на канцтовары"/>
        <s v="Cбор за геологоразведочные работы"/>
        <s v="Cбор за специальное водопользование"/>
        <s v="Единый налог"/>
        <s v="Налог на землю"/>
        <s v="Налог на прибыль"/>
        <s v="НДС"/>
        <s v="Экологический налог"/>
        <s v="Расходы на подписку"/>
        <s v="Такси, проездные, общественный транспорт"/>
        <s v="Представительские расходы и подарки"/>
        <s v="Аренда прочая"/>
        <s v="Расходы на ГСМ транспорта персонала"/>
        <s v="Ремонт и техобслуживание транспорта"/>
        <s v="Расходы на общественную деятельность"/>
        <s v="Хозяйственные расходы"/>
        <s v="Интернет"/>
        <s v="Аренда офиса"/>
        <s v="Вода"/>
        <s v="Расходы по найму транспорта на доставку ГП"/>
        <s v="Компенсация за использование авто"/>
        <s v="Расходы на обслуживание оргтехники"/>
        <s v="Стационарные телефоны"/>
        <s v="Клише"/>
        <s v="Расходы на лабораторные исследования"/>
        <s v="Расходы на услуги Стандартизации (договора и другое)"/>
        <s v="Штрихкодирование"/>
        <s v="Расходы на корпоративные мероприятия"/>
        <s v="Расходы на обучение"/>
        <s v="Расходы на поиск персонала"/>
        <s v="Расходы на услуги прочих сторонних организаций"/>
        <s v="Страхование сотрудников"/>
        <s v="POS-материалы"/>
        <s v="Брендирование авто"/>
        <s v="Брендирование торговых точек"/>
        <s v="Дизайн макетов"/>
        <s v="Дополнительное рекламное оборудование"/>
        <s v="Промоакции"/>
        <s v="Промоакции ТРТ"/>
        <s v="Рекламно - сувенирная продукция"/>
        <s v="Клиент-банк"/>
        <s v="РКО"/>
        <s v="Расходы на повышение эффективности налогов"/>
        <s v="Расходы на комиссию"/>
        <s v="Комиссия прочая"/>
        <s v="Проценты по кредитам"/>
        <s v="Расходы на получение и обслуживание кредитов"/>
        <s v="Расходы на юридические и нотариальные услуги"/>
        <s v="Ремонт прочих ОС"/>
        <s v="Ремонт холодильного оборудования"/>
        <s v="Прочие расходы"/>
        <s v="Себестоимость"/>
        <s v="Скидка"/>
        <s v="Аренда холода"/>
        <s v="Расходы на услуги вет. службы"/>
        <s v="Расходы ГСМ транспорта на доставку ГП"/>
        <s v="Расходы на списание брака готовой продукции"/>
        <s v="Расходы по найму транспорта на доставку сырья и тары"/>
        <s v="Расходы на транспортировку торгового оборудования"/>
        <s v="Расходы на спец. одежду"/>
        <s v="Расходы на списание брака списания сырья и тары"/>
        <s v="ГСМ транспорта производства и администрации"/>
        <s v="Расходы на страхование транспорта"/>
        <s v="Ремонт холодильного оборудования транспорта"/>
        <s v="Оплата за размещение в тт"/>
        <s v="Ввод новых позиций"/>
        <s v="Вход в новые торговые точки"/>
        <s v="Транши по сетям"/>
        <s v="Трейд-маркетинг СЕТИ"/>
        <s v="Ретро-бонусы"/>
        <s v="Промоакции ТК Дистрибьюторы"/>
        <s v="Трейд-маркетинг ДИСТРИБЬЮТОРЫ"/>
        <s v="Премия"/>
        <s v="Расходы на питание сотрудников"/>
        <s v="Расходы на услуги Санитарной службы (договора и другое)"/>
        <s v="Расходы связанные с Укр ассоциацией производителей ЗПФ и мороженого"/>
        <s v="Расходы на транспортировку производственного оборудования, зап. частей"/>
        <s v="Газ"/>
        <s v="Стоки"/>
        <s v="Электроэнергия"/>
        <s v="Ремонт электро,тепло, водо оборудования"/>
        <s v="Расходы на мойку оборудования и машин"/>
        <s v="Ремонт производственного оборудования"/>
        <s v="Ремонт производственного холодильного оборудования"/>
        <s v="Вывоз мусора"/>
        <s v="Технологические расходы производства (документация)"/>
        <s v="Прочие доходы"/>
        <s v="Доход от реализации (чистые продажи)"/>
        <s v="Продажи 1 категории"/>
        <s v="Продажи в КГ"/>
        <s v="Производство кг"/>
        <s v="Комиссия при продаже валюты"/>
        <s v="Комиссия при покупке валюты"/>
        <s v="Расходы на открытие (закрытие) счетов"/>
        <s v="Расходы на лабораторные иследования"/>
        <s v="Расходы на штрафы и пени"/>
        <s v="Ремонт зданий и сооружений"/>
        <s v="Рекламные кампании"/>
        <s v="Налог с владельцев транспортных средств"/>
        <s v="Сбор за загрязнение ОС"/>
        <s v="Страхование активов в залоге"/>
        <s v="Убытки от курсовых разниц"/>
        <s v="Расходы ГСМ транспорта на доставку сырья"/>
        <s v="Расходы на постановку (снятие) на учёт транспорта"/>
        <s v="Расходы на списание недостачи по инвентаризациям"/>
        <s v="Брендирование торгового оборудования"/>
        <m/>
      </sharedItems>
    </cacheField>
    <cacheField name="Физ лицо" numFmtId="0">
      <sharedItems containsBlank="1"/>
    </cacheField>
    <cacheField name="Контрагент" numFmtId="0">
      <sharedItems containsBlank="1"/>
    </cacheField>
    <cacheField name="Январь" numFmtId="3">
      <sharedItems containsString="0" containsBlank="1" containsNumber="1" minValue="0" maxValue="10963066.987022087"/>
    </cacheField>
    <cacheField name="Февраль" numFmtId="3">
      <sharedItems containsString="0" containsBlank="1" containsNumber="1" minValue="-52259.9" maxValue="12747237.118927825"/>
    </cacheField>
    <cacheField name="Март" numFmtId="3">
      <sharedItems containsString="0" containsBlank="1" containsNumber="1" minValue="0" maxValue="12324833.062396239"/>
    </cacheField>
    <cacheField name="Апрель" numFmtId="3">
      <sharedItems containsString="0" containsBlank="1" containsNumber="1" minValue="-30198.560000000001" maxValue="18870504.9113301"/>
    </cacheField>
    <cacheField name="Май" numFmtId="3">
      <sharedItems containsString="0" containsBlank="1" containsNumber="1" minValue="-144693.29" maxValue="38011593.200822383"/>
    </cacheField>
    <cacheField name="Июнь" numFmtId="3">
      <sharedItems containsString="0" containsBlank="1" containsNumber="1" minValue="-190048.04" maxValue="39125878.872913778"/>
    </cacheField>
    <cacheField name="Июль" numFmtId="3">
      <sharedItems containsString="0" containsBlank="1" containsNumber="1" minValue="-71275.820000000007" maxValue="34285577.030254908"/>
    </cacheField>
    <cacheField name="Август" numFmtId="3">
      <sharedItems containsString="0" containsBlank="1" containsNumber="1" minValue="-33545.4" maxValue="21279791.503981907"/>
    </cacheField>
    <cacheField name="Сентябрь" numFmtId="3">
      <sharedItems containsString="0" containsBlank="1" containsNumber="1" minValue="-40994.480000000003" maxValue="12714825.777758829"/>
    </cacheField>
    <cacheField name="Октябрь" numFmtId="3">
      <sharedItems containsString="0" containsBlank="1" containsNumber="1" minValue="-47197.11" maxValue="12009492.935720269"/>
    </cacheField>
    <cacheField name="Ноябрь" numFmtId="3">
      <sharedItems containsString="0" containsBlank="1" containsNumber="1" minValue="0" maxValue="12116589.3364703"/>
    </cacheField>
    <cacheField name="Декабрь" numFmtId="3">
      <sharedItems containsString="0" containsBlank="1" containsNumber="1" minValue="0" maxValue="12511973.247042831"/>
    </cacheField>
    <cacheField name="Общий итог" numFmtId="3">
      <sharedItems containsString="0" containsBlank="1" containsNumber="1" minValue="-548916.19000000006" maxValue="202596679.47749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4">
  <r>
    <x v="0"/>
    <x v="0"/>
    <x v="0"/>
    <s v="Административная деятельность"/>
    <s v="Зарплата"/>
    <s v="Бренд - менеджер ЗПФ"/>
    <x v="0"/>
    <x v="0"/>
    <s v="Зарплата"/>
    <x v="0"/>
    <m/>
    <m/>
    <n v="10506"/>
    <n v="10506"/>
    <n v="10506"/>
    <n v="10506"/>
    <n v="10506"/>
    <n v="10506"/>
    <n v="10506"/>
    <n v="10506"/>
    <n v="10506"/>
    <n v="10506"/>
    <n v="10506"/>
    <n v="10506"/>
    <n v="126072"/>
  </r>
  <r>
    <x v="0"/>
    <x v="0"/>
    <x v="0"/>
    <s v="Административная деятельность"/>
    <s v="Командировочные расходы"/>
    <s v="Бренд - менеджер ЗПФ"/>
    <x v="0"/>
    <x v="1"/>
    <s v="Командировочные расходы"/>
    <x v="1"/>
    <m/>
    <m/>
    <n v="10000"/>
    <n v="5000"/>
    <n v="5000"/>
    <n v="1000"/>
    <n v="1000"/>
    <n v="1000"/>
    <n v="1000"/>
    <n v="1000"/>
    <n v="1000"/>
    <n v="1000"/>
    <n v="1000"/>
    <n v="1000"/>
    <n v="29000"/>
  </r>
  <r>
    <x v="0"/>
    <x v="0"/>
    <x v="0"/>
    <s v="Расходы на маркетинг"/>
    <s v="Маркетинговые исследования"/>
    <s v="Бренд - менеджер ЗПФ"/>
    <x v="0"/>
    <x v="2"/>
    <s v="Маркетинговые исследования"/>
    <x v="2"/>
    <m/>
    <m/>
    <m/>
    <m/>
    <n v="4514"/>
    <n v="6300"/>
    <n v="3611"/>
    <n v="22393"/>
    <m/>
    <n v="9686"/>
    <m/>
    <n v="15715"/>
    <m/>
    <n v="28793"/>
    <m/>
  </r>
  <r>
    <x v="0"/>
    <x v="0"/>
    <x v="0"/>
    <s v="Расходы на маркетинг"/>
    <s v="Маркетинговые исследования"/>
    <s v="Бренд - менеджер ЗПФ"/>
    <x v="0"/>
    <x v="2"/>
    <s v="Маркетинговые исследования"/>
    <x v="3"/>
    <m/>
    <m/>
    <m/>
    <m/>
    <m/>
    <n v="15000"/>
    <m/>
    <n v="122662"/>
    <m/>
    <n v="152662"/>
    <m/>
    <m/>
    <m/>
    <m/>
    <n v="110000"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4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5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6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7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8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ЗПФ"/>
    <x v="0"/>
    <x v="2"/>
    <s v="Расходы на рекламу и PR"/>
    <x v="9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создание новых продуктов"/>
    <s v="Бренд - менеджер ЗПФ"/>
    <x v="0"/>
    <x v="2"/>
    <s v="Расходы на создание новых продуктов"/>
    <x v="10"/>
    <m/>
    <m/>
    <n v="2500"/>
    <n v="2500"/>
    <n v="2500"/>
    <n v="1500"/>
    <n v="1500"/>
    <n v="1500"/>
    <n v="1500"/>
    <n v="1500"/>
    <n v="1500"/>
    <n v="1500"/>
    <n v="1500"/>
    <n v="1500"/>
    <n v="21000"/>
  </r>
  <r>
    <x v="0"/>
    <x v="0"/>
    <x v="0"/>
    <s v="Расходы на маркетинг"/>
    <s v="Расходы на создание новых продуктов"/>
    <s v="Бренд - менеджер ЗПФ"/>
    <x v="0"/>
    <x v="2"/>
    <s v="Расходы на создание новых продуктов"/>
    <x v="11"/>
    <m/>
    <m/>
    <n v="500"/>
    <n v="66500"/>
    <n v="3000"/>
    <n v="2000"/>
    <m/>
    <n v="2000"/>
    <m/>
    <n v="2000"/>
    <m/>
    <n v="2000"/>
    <m/>
    <n v="2000"/>
    <n v="80000"/>
  </r>
  <r>
    <x v="0"/>
    <x v="0"/>
    <x v="0"/>
    <s v="Административная деятельность"/>
    <s v="Расходы на налоги"/>
    <s v="Бренд - менеджер ЗПФ"/>
    <x v="0"/>
    <x v="3"/>
    <s v="Расходы на налоги"/>
    <x v="12"/>
    <m/>
    <m/>
    <n v="594.88"/>
    <n v="594.88"/>
    <n v="594.88"/>
    <n v="594.88"/>
    <n v="594.88"/>
    <n v="594.88"/>
    <n v="594.88"/>
    <n v="594.88"/>
    <n v="594.88"/>
    <n v="594.88"/>
    <n v="594.88"/>
    <n v="594.88"/>
    <n v="7138.56"/>
  </r>
  <r>
    <x v="0"/>
    <x v="0"/>
    <x v="0"/>
    <s v="Административная деятельность"/>
    <s v="Услуги связи"/>
    <s v="Бренд - менеджер ЗПФ"/>
    <x v="0"/>
    <x v="4"/>
    <s v="Услуги связи"/>
    <x v="13"/>
    <s v="Продеус Наталія Ярославівна"/>
    <m/>
    <m/>
    <n v="380"/>
    <n v="380"/>
    <n v="380"/>
    <n v="380"/>
    <n v="380"/>
    <n v="380"/>
    <n v="380"/>
    <n v="380"/>
    <n v="380"/>
    <n v="380"/>
    <n v="380"/>
    <n v="4180"/>
  </r>
  <r>
    <x v="0"/>
    <x v="0"/>
    <x v="0"/>
    <s v="Административная деятельность"/>
    <s v="Услуги связи"/>
    <s v="Бренд - менеджер ЗПФ"/>
    <x v="0"/>
    <x v="4"/>
    <s v="Услуги связи"/>
    <x v="13"/>
    <m/>
    <m/>
    <n v="380"/>
    <m/>
    <m/>
    <m/>
    <m/>
    <m/>
    <m/>
    <m/>
    <m/>
    <m/>
    <m/>
    <m/>
    <n v="380"/>
  </r>
  <r>
    <x v="0"/>
    <x v="0"/>
    <x v="0"/>
    <s v="Административная деятельность"/>
    <s v="Зарплата"/>
    <s v="Бренд - менеджер Мороженое"/>
    <x v="0"/>
    <x v="0"/>
    <s v="Зарплата"/>
    <x v="0"/>
    <m/>
    <m/>
    <n v="10506"/>
    <n v="10506"/>
    <n v="10506"/>
    <n v="10506"/>
    <n v="10506"/>
    <n v="10506"/>
    <n v="10506"/>
    <n v="10506"/>
    <n v="10506"/>
    <n v="10506"/>
    <n v="10506"/>
    <n v="10506"/>
    <n v="126072"/>
  </r>
  <r>
    <x v="0"/>
    <x v="0"/>
    <x v="0"/>
    <s v="Административная деятельность"/>
    <s v="Командировочные расходы"/>
    <s v="Бренд - менеджер Мороженое"/>
    <x v="0"/>
    <x v="1"/>
    <s v="Командировочные расходы"/>
    <x v="1"/>
    <m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Расходы на маркетинг"/>
    <s v="Маркетинговые исследования"/>
    <s v="Бренд - менеджер Мороженое"/>
    <x v="0"/>
    <x v="2"/>
    <s v="Маркетинговые исследования"/>
    <x v="2"/>
    <m/>
    <m/>
    <m/>
    <m/>
    <n v="4515"/>
    <n v="11715"/>
    <n v="10811"/>
    <n v="26004"/>
    <m/>
    <n v="10586"/>
    <m/>
    <n v="15715"/>
    <m/>
    <n v="29493"/>
    <m/>
  </r>
  <r>
    <x v="0"/>
    <x v="0"/>
    <x v="0"/>
    <s v="Расходы на маркетинг"/>
    <s v="Маркетинговые исследования"/>
    <s v="Бренд - менеджер Мороженое"/>
    <x v="0"/>
    <x v="2"/>
    <s v="Маркетинговые исследования"/>
    <x v="14"/>
    <m/>
    <m/>
    <m/>
    <n v="30000"/>
    <n v="30000"/>
    <m/>
    <m/>
    <m/>
    <m/>
    <m/>
    <n v="20000"/>
    <m/>
    <m/>
    <m/>
    <n v="80000"/>
  </r>
  <r>
    <x v="0"/>
    <x v="0"/>
    <x v="0"/>
    <s v="Расходы на маркетинг"/>
    <s v="Маркетинговые исследования"/>
    <s v="Бренд - менеджер Мороженое"/>
    <x v="0"/>
    <x v="2"/>
    <s v="Маркетинговые исследования"/>
    <x v="3"/>
    <m/>
    <m/>
    <m/>
    <m/>
    <m/>
    <n v="15000"/>
    <n v="15000"/>
    <n v="159623"/>
    <m/>
    <n v="15000"/>
    <m/>
    <m/>
    <m/>
    <n v="174623"/>
    <n v="110000"/>
  </r>
  <r>
    <x v="0"/>
    <x v="0"/>
    <x v="0"/>
    <s v="Расходы на маркетинг"/>
    <s v="Расходы на рекламу и PR"/>
    <s v="Бренд - менеджер Мороженое"/>
    <x v="0"/>
    <x v="2"/>
    <s v="Расходы на рекламу и PR"/>
    <x v="4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Мороженое"/>
    <x v="0"/>
    <x v="2"/>
    <s v="Расходы на рекламу и PR"/>
    <x v="5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Мороженое"/>
    <x v="0"/>
    <x v="2"/>
    <s v="Расходы на рекламу и PR"/>
    <x v="6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Мороженое"/>
    <x v="0"/>
    <x v="2"/>
    <s v="Расходы на рекламу и PR"/>
    <x v="8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рекламу и PR"/>
    <s v="Бренд - менеджер Мороженое"/>
    <x v="0"/>
    <x v="2"/>
    <s v="Расходы на рекламу и PR"/>
    <x v="9"/>
    <m/>
    <m/>
    <m/>
    <m/>
    <m/>
    <m/>
    <m/>
    <m/>
    <m/>
    <m/>
    <m/>
    <m/>
    <m/>
    <m/>
    <m/>
  </r>
  <r>
    <x v="0"/>
    <x v="0"/>
    <x v="0"/>
    <s v="Расходы на маркетинг"/>
    <s v="Расходы на создание новых продуктов"/>
    <s v="Бренд - менеджер Мороженое"/>
    <x v="0"/>
    <x v="2"/>
    <s v="Расходы на создание новых продуктов"/>
    <x v="10"/>
    <m/>
    <m/>
    <n v="2500"/>
    <n v="2500"/>
    <n v="2500"/>
    <n v="1500"/>
    <n v="1500"/>
    <n v="1500"/>
    <n v="1500"/>
    <n v="1500"/>
    <n v="1500"/>
    <n v="1500"/>
    <n v="1500"/>
    <n v="1500"/>
    <n v="21000"/>
  </r>
  <r>
    <x v="0"/>
    <x v="0"/>
    <x v="0"/>
    <s v="Расходы на маркетинг"/>
    <s v="Расходы на создание новых продуктов"/>
    <s v="Бренд - менеджер Мороженое"/>
    <x v="0"/>
    <x v="2"/>
    <s v="Расходы на создание новых продуктов"/>
    <x v="11"/>
    <m/>
    <m/>
    <n v="50000"/>
    <n v="50000"/>
    <n v="50000"/>
    <n v="50000"/>
    <m/>
    <m/>
    <m/>
    <m/>
    <m/>
    <m/>
    <m/>
    <m/>
    <n v="200000"/>
  </r>
  <r>
    <x v="0"/>
    <x v="0"/>
    <x v="0"/>
    <s v="Расходы на маркетинг"/>
    <s v="Расходы на создание новых продуктов"/>
    <s v="Бренд - менеджер Мороженое"/>
    <x v="0"/>
    <x v="2"/>
    <s v="Расходы на создание новых продуктов"/>
    <x v="15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Расходы на налоги"/>
    <s v="Бренд - менеджер Мороженое"/>
    <x v="0"/>
    <x v="3"/>
    <s v="Расходы на налоги"/>
    <x v="12"/>
    <m/>
    <m/>
    <n v="594.88"/>
    <n v="594.88"/>
    <n v="594.88"/>
    <n v="594.88"/>
    <n v="594.88"/>
    <n v="594.88"/>
    <n v="594.88"/>
    <n v="594.88"/>
    <n v="594.88"/>
    <n v="594.88"/>
    <n v="594.88"/>
    <n v="594.88"/>
    <n v="7138.56"/>
  </r>
  <r>
    <x v="0"/>
    <x v="0"/>
    <x v="0"/>
    <s v="Административная деятельность"/>
    <s v="Услуги связи"/>
    <s v="Бренд - менеджер Мороженое"/>
    <x v="0"/>
    <x v="4"/>
    <s v="Услуги связи"/>
    <x v="13"/>
    <m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мортизация"/>
    <s v="Амортизация"/>
    <s v="Бухгалтерия"/>
    <x v="0"/>
    <x v="5"/>
    <s v="Амортизация"/>
    <x v="16"/>
    <m/>
    <m/>
    <n v="1800000"/>
    <n v="1800000"/>
    <n v="1800000"/>
    <n v="1800000"/>
    <n v="1800000"/>
    <n v="1800000"/>
    <n v="1800000"/>
    <n v="1800000"/>
    <n v="1800000"/>
    <n v="1800000"/>
    <n v="1800000"/>
    <n v="1800000"/>
    <n v="21600000"/>
  </r>
  <r>
    <x v="0"/>
    <x v="0"/>
    <x v="0"/>
    <s v="Административная деятельность"/>
    <s v="Зарплата"/>
    <s v="Бухгалтерия"/>
    <x v="0"/>
    <x v="0"/>
    <s v="Зарплата"/>
    <x v="0"/>
    <m/>
    <m/>
    <n v="105982"/>
    <n v="105982"/>
    <n v="105982"/>
    <n v="105982"/>
    <n v="105982"/>
    <n v="105982"/>
    <n v="105982"/>
    <n v="105982"/>
    <n v="105982"/>
    <n v="105982"/>
    <n v="105982"/>
    <n v="105982"/>
    <n v="1271784"/>
  </r>
  <r>
    <x v="0"/>
    <x v="0"/>
    <x v="0"/>
    <s v="Административная деятельность"/>
    <s v="Расходы на канцтовары и обслуживание оргтехники"/>
    <s v="Бухгалтерия"/>
    <x v="0"/>
    <x v="6"/>
    <s v="Расходы на канцтовары и обслуживание оргтехники"/>
    <x v="17"/>
    <m/>
    <m/>
    <n v="2000"/>
    <n v="2000"/>
    <n v="2000"/>
    <n v="2000"/>
    <n v="2500"/>
    <n v="2500"/>
    <n v="2500"/>
    <n v="2000"/>
    <n v="2000"/>
    <n v="2000"/>
    <n v="2000"/>
    <n v="2000"/>
    <n v="25500"/>
  </r>
  <r>
    <x v="0"/>
    <x v="0"/>
    <x v="0"/>
    <s v="Расходы на налоги"/>
    <s v="Расходы на налоги"/>
    <s v="Бухгалтерия"/>
    <x v="0"/>
    <x v="3"/>
    <s v="Расходы на налоги"/>
    <x v="18"/>
    <m/>
    <m/>
    <m/>
    <n v="1000"/>
    <m/>
    <m/>
    <n v="1500"/>
    <m/>
    <m/>
    <n v="1500"/>
    <m/>
    <m/>
    <n v="1000"/>
    <m/>
    <n v="5000"/>
  </r>
  <r>
    <x v="0"/>
    <x v="0"/>
    <x v="0"/>
    <s v="Расходы на налоги"/>
    <s v="Расходы на налоги"/>
    <s v="Бухгалтерия"/>
    <x v="0"/>
    <x v="3"/>
    <s v="Расходы на налоги"/>
    <x v="19"/>
    <m/>
    <m/>
    <m/>
    <n v="6000"/>
    <m/>
    <m/>
    <n v="8000"/>
    <m/>
    <m/>
    <n v="8000"/>
    <m/>
    <m/>
    <n v="6000"/>
    <m/>
    <n v="28000"/>
  </r>
  <r>
    <x v="0"/>
    <x v="0"/>
    <x v="0"/>
    <s v="Расходы на налоги"/>
    <s v="Расходы на налоги"/>
    <s v="Бухгалтерия"/>
    <x v="0"/>
    <x v="3"/>
    <s v="Расходы на налоги"/>
    <x v="20"/>
    <m/>
    <m/>
    <n v="2569"/>
    <n v="2569"/>
    <n v="2569"/>
    <n v="2569"/>
    <n v="2569"/>
    <n v="2569"/>
    <n v="2569"/>
    <n v="2569"/>
    <n v="2569"/>
    <n v="2569"/>
    <n v="2569"/>
    <n v="2569"/>
    <n v="30828"/>
  </r>
  <r>
    <x v="0"/>
    <x v="0"/>
    <x v="0"/>
    <s v="Расходы на налоги"/>
    <s v="Расходы на налоги"/>
    <s v="Бухгалтерия"/>
    <x v="0"/>
    <x v="3"/>
    <s v="Расходы на налоги"/>
    <x v="21"/>
    <m/>
    <m/>
    <n v="35000"/>
    <n v="35000"/>
    <n v="35000"/>
    <n v="35000"/>
    <n v="35000"/>
    <n v="35000"/>
    <n v="35000"/>
    <n v="35000"/>
    <n v="35000"/>
    <n v="35000"/>
    <n v="35000"/>
    <n v="35000"/>
    <n v="420000"/>
  </r>
  <r>
    <x v="0"/>
    <x v="0"/>
    <x v="0"/>
    <s v="Расходы на налоги"/>
    <s v="Расходы на налоги"/>
    <s v="Бухгалтерия"/>
    <x v="0"/>
    <x v="3"/>
    <s v="Расходы на налоги"/>
    <x v="22"/>
    <m/>
    <m/>
    <n v="60000"/>
    <n v="60000"/>
    <n v="60000"/>
    <n v="60000"/>
    <n v="60000"/>
    <n v="60000"/>
    <n v="60000"/>
    <n v="60000"/>
    <n v="60000"/>
    <n v="60000"/>
    <n v="60000"/>
    <n v="60000"/>
    <n v="720000"/>
  </r>
  <r>
    <x v="0"/>
    <x v="0"/>
    <x v="0"/>
    <s v="Административная деятельность"/>
    <s v="Расходы на налоги"/>
    <s v="Бухгалтерия"/>
    <x v="0"/>
    <x v="3"/>
    <s v="Расходы на налоги"/>
    <x v="12"/>
    <m/>
    <m/>
    <n v="11893.88"/>
    <n v="11893.88"/>
    <n v="11893.88"/>
    <n v="11893.88"/>
    <n v="11893.88"/>
    <n v="11893.88"/>
    <n v="11893.88"/>
    <n v="11893.88"/>
    <n v="11893.88"/>
    <n v="11893.88"/>
    <n v="11893.88"/>
    <n v="11893.88"/>
    <n v="142726.56000000003"/>
  </r>
  <r>
    <x v="0"/>
    <x v="0"/>
    <x v="0"/>
    <s v="Расходы на налоги"/>
    <s v="Расходы на налоги"/>
    <s v="Бухгалтерия"/>
    <x v="0"/>
    <x v="3"/>
    <s v="Расходы на налоги"/>
    <x v="23"/>
    <m/>
    <m/>
    <n v="50000"/>
    <n v="50000"/>
    <n v="50000"/>
    <n v="60000"/>
    <n v="90000"/>
    <n v="90000"/>
    <n v="80000"/>
    <n v="50000"/>
    <n v="60000"/>
    <n v="50000"/>
    <n v="50000"/>
    <n v="50000"/>
    <n v="730000"/>
  </r>
  <r>
    <x v="0"/>
    <x v="0"/>
    <x v="0"/>
    <s v="Расходы на налоги"/>
    <s v="Расходы на налоги"/>
    <s v="Бухгалтерия"/>
    <x v="0"/>
    <x v="3"/>
    <s v="Расходы на налоги"/>
    <x v="24"/>
    <m/>
    <m/>
    <m/>
    <n v="1000"/>
    <m/>
    <m/>
    <n v="2000"/>
    <m/>
    <m/>
    <n v="2000"/>
    <m/>
    <m/>
    <n v="1500"/>
    <m/>
    <n v="6500"/>
  </r>
  <r>
    <x v="0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25"/>
    <m/>
    <m/>
    <m/>
    <m/>
    <m/>
    <m/>
    <n v="2400"/>
    <m/>
    <m/>
    <m/>
    <m/>
    <m/>
    <n v="2400"/>
    <m/>
    <n v="4800"/>
  </r>
  <r>
    <x v="0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26"/>
    <s v="Лещенко Світлана Івані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26"/>
    <s v="Слободенюк Оксана Яківна"/>
    <m/>
    <n v="50"/>
    <n v="50"/>
    <n v="50"/>
    <n v="50"/>
    <n v="50"/>
    <n v="50"/>
    <n v="50"/>
    <n v="50"/>
    <n v="50"/>
    <n v="50"/>
    <n v="50"/>
    <n v="50"/>
    <n v="600"/>
  </r>
  <r>
    <x v="0"/>
    <x v="0"/>
    <x v="0"/>
    <s v="Административная деятельность"/>
    <s v="Расходы на услуги сторонних организаций"/>
    <s v="Бухгалтерия"/>
    <x v="0"/>
    <x v="8"/>
    <s v="Расходы на услуги сторонних организаций"/>
    <x v="27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0"/>
    <s v="Административная деятельность"/>
    <s v="Услуги связи"/>
    <s v="Бухгалтерия"/>
    <x v="0"/>
    <x v="4"/>
    <s v="Услуги связи"/>
    <x v="13"/>
    <s v="Кіт Людмила Петрівна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Бухгалтерия"/>
    <x v="0"/>
    <x v="4"/>
    <s v="Услуги связи"/>
    <x v="13"/>
    <s v="Крижанівська Оксана Володимирівна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Бухгалтерия"/>
    <x v="0"/>
    <x v="4"/>
    <s v="Услуги связи"/>
    <x v="13"/>
    <s v="Лещенко Світлана Іванівна"/>
    <m/>
    <n v="550"/>
    <n v="550"/>
    <n v="550"/>
    <n v="550"/>
    <n v="550"/>
    <n v="550"/>
    <n v="550"/>
    <n v="550"/>
    <n v="550"/>
    <n v="550"/>
    <n v="550"/>
    <n v="550"/>
    <n v="6600"/>
  </r>
  <r>
    <x v="0"/>
    <x v="0"/>
    <x v="0"/>
    <s v="Административная деятельность"/>
    <s v="Аренда"/>
    <s v="Генеральный директор"/>
    <x v="0"/>
    <x v="9"/>
    <s v="Аренда"/>
    <x v="28"/>
    <m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0"/>
    <s v="Административная деятельность"/>
    <s v="Зарплата"/>
    <s v="Генеральный директор"/>
    <x v="0"/>
    <x v="0"/>
    <s v="Зарплата"/>
    <x v="0"/>
    <m/>
    <m/>
    <n v="15103"/>
    <n v="15103"/>
    <n v="15103"/>
    <n v="15103"/>
    <n v="15103"/>
    <n v="15103"/>
    <n v="15103"/>
    <n v="15103"/>
    <n v="15103"/>
    <n v="15103"/>
    <n v="15103"/>
    <n v="15103"/>
    <n v="181236"/>
  </r>
  <r>
    <x v="0"/>
    <x v="0"/>
    <x v="0"/>
    <s v="Административная деятельность"/>
    <s v="Командировочные расходы"/>
    <s v="Генеральный директор"/>
    <x v="0"/>
    <x v="1"/>
    <s v="Командировочные расходы"/>
    <x v="1"/>
    <s v="Ушмаєв Дмитро Ігорович"/>
    <m/>
    <n v="1000"/>
    <n v="1000"/>
    <n v="1000"/>
    <n v="1000"/>
    <n v="1000"/>
    <n v="1000"/>
    <n v="1000"/>
    <n v="5000"/>
    <n v="5000"/>
    <n v="1000"/>
    <n v="1000"/>
    <n v="1000"/>
    <n v="20000"/>
  </r>
  <r>
    <x v="0"/>
    <x v="0"/>
    <x v="0"/>
    <s v="Административная деятельность"/>
    <s v="Расходы на канцтовары и обслуживание оргтехники"/>
    <s v="Генеральный директор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0"/>
    <s v="Административная деятельность"/>
    <s v="Расходы на налоги"/>
    <s v="Генеральный директор"/>
    <x v="0"/>
    <x v="3"/>
    <s v="Расходы на налоги"/>
    <x v="12"/>
    <m/>
    <m/>
    <n v="1338.48"/>
    <n v="1338.48"/>
    <n v="1338.48"/>
    <n v="1338.48"/>
    <n v="1338.48"/>
    <n v="1338.48"/>
    <n v="1338.48"/>
    <n v="1338.48"/>
    <n v="1338.48"/>
    <n v="1338.48"/>
    <n v="1338.48"/>
    <n v="1338.48"/>
    <n v="16061.759999999997"/>
  </r>
  <r>
    <x v="0"/>
    <x v="0"/>
    <x v="0"/>
    <s v="Административная деятельность"/>
    <s v="Расходы на персонал"/>
    <s v="Генеральный директор"/>
    <x v="0"/>
    <x v="7"/>
    <s v="Расходы на персонал"/>
    <x v="29"/>
    <s v="Ушмаєв Дмитро Ігорович"/>
    <m/>
    <n v="7000"/>
    <n v="7000"/>
    <n v="7000"/>
    <n v="7000"/>
    <n v="7000"/>
    <n v="7000"/>
    <n v="7000"/>
    <n v="7000"/>
    <n v="7000"/>
    <n v="7000"/>
    <n v="7000"/>
    <n v="7000"/>
    <n v="84000"/>
  </r>
  <r>
    <x v="0"/>
    <x v="0"/>
    <x v="0"/>
    <s v="Административная деятельность"/>
    <s v="Расходы на содержание автопарка"/>
    <s v="Генеральный директор"/>
    <x v="0"/>
    <x v="10"/>
    <s v="Ремонт и ТО транспорта"/>
    <x v="30"/>
    <s v="Ушмаєв Дмитро Ігорович"/>
    <m/>
    <n v="8000"/>
    <n v="2000"/>
    <n v="2000"/>
    <n v="8000"/>
    <n v="2000"/>
    <n v="2000"/>
    <n v="8000"/>
    <n v="2000"/>
    <n v="2000"/>
    <n v="2000"/>
    <n v="8000"/>
    <n v="2000"/>
    <n v="48000"/>
  </r>
  <r>
    <x v="0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27"/>
    <m/>
    <m/>
    <n v="1800"/>
    <n v="1800"/>
    <n v="2900"/>
    <n v="1800"/>
    <n v="1800"/>
    <n v="2900"/>
    <n v="1800"/>
    <n v="1800"/>
    <n v="2900"/>
    <n v="1800"/>
    <n v="1800"/>
    <n v="2900"/>
    <n v="26000"/>
  </r>
  <r>
    <x v="0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31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32"/>
    <m/>
    <m/>
    <n v="3140"/>
    <n v="3140"/>
    <n v="3140"/>
    <n v="3140"/>
    <n v="3140"/>
    <n v="3140"/>
    <n v="3140"/>
    <n v="3140"/>
    <n v="3140"/>
    <n v="3140"/>
    <n v="3140"/>
    <n v="3140"/>
    <n v="37680"/>
  </r>
  <r>
    <x v="0"/>
    <x v="0"/>
    <x v="0"/>
    <s v="Административная деятельность"/>
    <s v="Услуги связи"/>
    <s v="Генеральный директор"/>
    <x v="0"/>
    <x v="4"/>
    <s v="Услуги связи"/>
    <x v="33"/>
    <s v="Стась Юлія Миколаївна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0"/>
    <s v="Административная деятельность"/>
    <s v="Услуги связи"/>
    <s v="Генеральный директор"/>
    <x v="0"/>
    <x v="4"/>
    <s v="Услуги связи"/>
    <x v="33"/>
    <s v="Ушмаєв Дмитро Іго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0"/>
    <s v="Административная деятельность"/>
    <s v="Услуги связи"/>
    <s v="Генеральный директор"/>
    <x v="0"/>
    <x v="4"/>
    <s v="Услуги связи"/>
    <x v="13"/>
    <s v="Векленко Андрій Олександрович"/>
    <m/>
    <n v="80"/>
    <n v="80"/>
    <n v="80"/>
    <n v="80"/>
    <n v="80"/>
    <n v="80"/>
    <n v="80"/>
    <n v="80"/>
    <n v="80"/>
    <n v="80"/>
    <n v="80"/>
    <n v="80"/>
    <n v="960"/>
  </r>
  <r>
    <x v="0"/>
    <x v="0"/>
    <x v="0"/>
    <s v="Административная деятельность"/>
    <s v="Услуги связи"/>
    <s v="Генеральный директор"/>
    <x v="0"/>
    <x v="4"/>
    <s v="Услуги связи"/>
    <x v="13"/>
    <s v="Стась Юлія Миколаївна"/>
    <m/>
    <n v="510"/>
    <n v="510"/>
    <n v="510"/>
    <n v="510"/>
    <n v="510"/>
    <n v="510"/>
    <n v="510"/>
    <n v="510"/>
    <n v="510"/>
    <n v="510"/>
    <n v="510"/>
    <n v="510"/>
    <n v="6120"/>
  </r>
  <r>
    <x v="0"/>
    <x v="0"/>
    <x v="0"/>
    <s v="Административная деятельность"/>
    <s v="Услуги связи"/>
    <s v="Генеральный директор"/>
    <x v="0"/>
    <x v="4"/>
    <s v="Услуги связи"/>
    <x v="13"/>
    <s v="Ушмаєв Дмитро Ігорович"/>
    <m/>
    <n v="550"/>
    <n v="550"/>
    <n v="550"/>
    <n v="550"/>
    <n v="550"/>
    <n v="550"/>
    <n v="550"/>
    <n v="550"/>
    <n v="550"/>
    <n v="550"/>
    <n v="550"/>
    <n v="550"/>
    <n v="6600"/>
  </r>
  <r>
    <x v="0"/>
    <x v="0"/>
    <x v="0"/>
    <s v="Административная деятельность"/>
    <s v="Аренда"/>
    <s v="Директор"/>
    <x v="0"/>
    <x v="9"/>
    <s v="Аренда"/>
    <x v="34"/>
    <m/>
    <m/>
    <n v="114021"/>
    <n v="114021"/>
    <n v="114021"/>
    <n v="114021"/>
    <n v="114021"/>
    <n v="114021"/>
    <n v="114021"/>
    <n v="114021"/>
    <n v="114021"/>
    <n v="114021"/>
    <n v="114021"/>
    <n v="114021"/>
    <n v="1368252"/>
  </r>
  <r>
    <x v="0"/>
    <x v="0"/>
    <x v="0"/>
    <s v="Административная деятельность"/>
    <s v="Аренда"/>
    <s v="Директор"/>
    <x v="0"/>
    <x v="9"/>
    <s v="Аренда"/>
    <x v="28"/>
    <m/>
    <m/>
    <n v="64680"/>
    <n v="64680"/>
    <n v="64680"/>
    <n v="64680"/>
    <n v="64680"/>
    <n v="64680"/>
    <n v="64680"/>
    <n v="64680"/>
    <n v="64680"/>
    <n v="64680"/>
    <n v="64680"/>
    <n v="64680"/>
    <n v="776160"/>
  </r>
  <r>
    <x v="0"/>
    <x v="0"/>
    <x v="0"/>
    <s v="Административная деятельность"/>
    <s v="Зарплата"/>
    <s v="Директор"/>
    <x v="0"/>
    <x v="0"/>
    <s v="Зарплата"/>
    <x v="0"/>
    <m/>
    <m/>
    <n v="58254"/>
    <n v="58254"/>
    <n v="58254"/>
    <n v="58254"/>
    <n v="58254"/>
    <n v="58254"/>
    <n v="58254"/>
    <n v="58254"/>
    <n v="58254"/>
    <n v="58254"/>
    <n v="58254"/>
    <n v="58254"/>
    <n v="699048"/>
  </r>
  <r>
    <x v="0"/>
    <x v="0"/>
    <x v="0"/>
    <s v="Административная деятельность"/>
    <s v="Коммунальные расходы"/>
    <s v="Директор"/>
    <x v="0"/>
    <x v="11"/>
    <s v="Коммунальные расходы"/>
    <x v="35"/>
    <m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0"/>
    <s v="Административная деятельность"/>
    <s v="Расходы на канцтовары и обслуживание оргтехники"/>
    <s v="Директор"/>
    <x v="0"/>
    <x v="6"/>
    <s v="Расходы на канцтовары и обслуживание оргтехники"/>
    <x v="17"/>
    <m/>
    <m/>
    <n v="150"/>
    <n v="150"/>
    <n v="150"/>
    <n v="150"/>
    <n v="150"/>
    <n v="150"/>
    <n v="150"/>
    <n v="150"/>
    <n v="150"/>
    <n v="150"/>
    <n v="150"/>
    <n v="150"/>
    <n v="1800"/>
  </r>
  <r>
    <x v="0"/>
    <x v="0"/>
    <x v="0"/>
    <s v="Административная деятельность"/>
    <s v="Расходы на логистику"/>
    <s v="Директор"/>
    <x v="0"/>
    <x v="12"/>
    <s v="Найм транспорта"/>
    <x v="36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Расходы на налоги"/>
    <s v="Директор"/>
    <x v="0"/>
    <x v="3"/>
    <s v="Расходы на налоги"/>
    <x v="12"/>
    <m/>
    <m/>
    <n v="3188.93"/>
    <n v="3188.93"/>
    <n v="3188.93"/>
    <n v="3188.93"/>
    <n v="3188.93"/>
    <n v="3188.93"/>
    <n v="3188.93"/>
    <n v="3188.93"/>
    <n v="3188.93"/>
    <n v="3188.93"/>
    <n v="3188.93"/>
    <n v="3188.93"/>
    <n v="38267.159999999996"/>
  </r>
  <r>
    <x v="0"/>
    <x v="0"/>
    <x v="0"/>
    <s v="Административная деятельность"/>
    <s v="Расходы на персонал"/>
    <s v="Директор"/>
    <x v="0"/>
    <x v="7"/>
    <s v="Расходы на персонал"/>
    <x v="37"/>
    <m/>
    <m/>
    <n v="1850"/>
    <n v="1850"/>
    <n v="1850"/>
    <n v="1850"/>
    <n v="1850"/>
    <n v="1850"/>
    <n v="1850"/>
    <n v="1850"/>
    <n v="1850"/>
    <n v="1850"/>
    <n v="1850"/>
    <n v="1850"/>
    <n v="22200"/>
  </r>
  <r>
    <x v="0"/>
    <x v="0"/>
    <x v="0"/>
    <s v="Административная деятельность"/>
    <s v="Расходы на персонал"/>
    <s v="Директор"/>
    <x v="0"/>
    <x v="7"/>
    <s v="Расходы на персонал"/>
    <x v="29"/>
    <m/>
    <m/>
    <n v="4000"/>
    <n v="4000"/>
    <n v="4000"/>
    <n v="4000"/>
    <n v="4000"/>
    <n v="4000"/>
    <n v="4000"/>
    <n v="4000"/>
    <n v="4000"/>
    <n v="4000"/>
    <n v="4000"/>
    <n v="4000"/>
    <n v="48000"/>
  </r>
  <r>
    <x v="0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27"/>
    <m/>
    <m/>
    <n v="2000"/>
    <n v="2000"/>
    <n v="2000"/>
    <n v="2500"/>
    <n v="4000"/>
    <n v="4000"/>
    <n v="4000"/>
    <n v="4000"/>
    <n v="2500"/>
    <n v="2000"/>
    <n v="2000"/>
    <n v="2000"/>
    <n v="33000"/>
  </r>
  <r>
    <x v="0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32"/>
    <m/>
    <m/>
    <n v="8600"/>
    <n v="8600"/>
    <n v="8600"/>
    <n v="8600"/>
    <n v="8600"/>
    <n v="8600"/>
    <n v="8600"/>
    <n v="8600"/>
    <n v="8600"/>
    <n v="8600"/>
    <n v="8600"/>
    <n v="8600"/>
    <n v="103200"/>
  </r>
  <r>
    <x v="0"/>
    <x v="0"/>
    <x v="0"/>
    <s v="Административная деятельность"/>
    <s v="Услуги связи"/>
    <s v="Директор"/>
    <x v="0"/>
    <x v="4"/>
    <s v="Услуги связи"/>
    <x v="33"/>
    <m/>
    <m/>
    <n v="1100"/>
    <n v="1100"/>
    <n v="1100"/>
    <n v="1100"/>
    <n v="1100"/>
    <n v="1100"/>
    <n v="1100"/>
    <n v="1100"/>
    <n v="1100"/>
    <n v="1100"/>
    <n v="1100"/>
    <n v="1100"/>
    <n v="13200"/>
  </r>
  <r>
    <x v="0"/>
    <x v="0"/>
    <x v="0"/>
    <s v="Административная деятельность"/>
    <s v="Услуги связи"/>
    <s v="Директор"/>
    <x v="0"/>
    <x v="4"/>
    <s v="Услуги связи"/>
    <x v="13"/>
    <m/>
    <m/>
    <n v="700"/>
    <n v="700"/>
    <n v="700"/>
    <n v="700"/>
    <n v="700"/>
    <n v="700"/>
    <n v="700"/>
    <n v="700"/>
    <n v="700"/>
    <n v="700"/>
    <n v="700"/>
    <n v="700"/>
    <n v="8400"/>
  </r>
  <r>
    <x v="0"/>
    <x v="0"/>
    <x v="0"/>
    <s v="Административная деятельность"/>
    <s v="Зарплата"/>
    <s v="Директор по маркетингу"/>
    <x v="0"/>
    <x v="0"/>
    <s v="Зарплата"/>
    <x v="0"/>
    <m/>
    <m/>
    <n v="45594"/>
    <n v="45594"/>
    <n v="45594"/>
    <n v="45594"/>
    <n v="45594"/>
    <n v="45594"/>
    <n v="45594"/>
    <n v="45594"/>
    <n v="45594"/>
    <n v="45594"/>
    <n v="45594"/>
    <n v="45594"/>
    <n v="547128"/>
  </r>
  <r>
    <x v="0"/>
    <x v="0"/>
    <x v="0"/>
    <s v="Административная деятельность"/>
    <s v="Командировочные расходы"/>
    <s v="Директор по маркетингу"/>
    <x v="0"/>
    <x v="1"/>
    <s v="Командировочные расходы"/>
    <x v="1"/>
    <m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Административная деятельность"/>
    <s v="Расходы на канцтовары и обслуживание оргтехники"/>
    <s v="Директор по маркетингу"/>
    <x v="0"/>
    <x v="6"/>
    <s v="Расходы на канцтовары и обслуживание оргтехники"/>
    <x v="17"/>
    <m/>
    <m/>
    <n v="350"/>
    <n v="350"/>
    <n v="350"/>
    <n v="350"/>
    <n v="350"/>
    <n v="350"/>
    <n v="350"/>
    <n v="350"/>
    <n v="350"/>
    <n v="350"/>
    <n v="350"/>
    <n v="350"/>
    <n v="4200"/>
  </r>
  <r>
    <x v="0"/>
    <x v="0"/>
    <x v="0"/>
    <s v="Административная деятельность"/>
    <s v="Расходы на налоги"/>
    <s v="Директор по маркетингу"/>
    <x v="0"/>
    <x v="3"/>
    <s v="Расходы на налоги"/>
    <x v="12"/>
    <m/>
    <m/>
    <n v="2676.96"/>
    <n v="2676.96"/>
    <n v="2676.96"/>
    <n v="2676.96"/>
    <n v="2676.96"/>
    <n v="2676.96"/>
    <n v="2676.96"/>
    <n v="2676.96"/>
    <n v="2676.96"/>
    <n v="2676.96"/>
    <n v="2676.96"/>
    <n v="2676.96"/>
    <n v="32123.519999999993"/>
  </r>
  <r>
    <x v="0"/>
    <x v="0"/>
    <x v="0"/>
    <s v="Административная деятельность"/>
    <s v="Услуги связи"/>
    <s v="Директор по маркетингу"/>
    <x v="0"/>
    <x v="4"/>
    <s v="Услуги связи"/>
    <x v="13"/>
    <s v="Баранов Валентин Володимирович"/>
    <m/>
    <n v="61"/>
    <n v="61"/>
    <n v="61"/>
    <n v="61"/>
    <n v="61"/>
    <n v="61"/>
    <n v="61"/>
    <n v="61"/>
    <n v="61"/>
    <n v="61"/>
    <n v="61"/>
    <n v="61"/>
    <n v="732"/>
  </r>
  <r>
    <x v="0"/>
    <x v="0"/>
    <x v="0"/>
    <s v="Административная деятельность"/>
    <s v="Услуги связи"/>
    <s v="Директор по маркетингу"/>
    <x v="0"/>
    <x v="4"/>
    <s v="Услуги связи"/>
    <x v="13"/>
    <s v="Власенко Сергій Михайлович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Услуги связи"/>
    <s v="Директор по маркетингу"/>
    <x v="0"/>
    <x v="4"/>
    <s v="Услуги связи"/>
    <x v="13"/>
    <s v="Курпіта Олеся Володимирівна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Зарплата"/>
    <s v="ИТ отдел"/>
    <x v="0"/>
    <x v="0"/>
    <s v="Зарплата"/>
    <x v="0"/>
    <m/>
    <m/>
    <n v="43010"/>
    <n v="43010"/>
    <n v="43010"/>
    <n v="43010"/>
    <m/>
    <n v="43010"/>
    <n v="43010"/>
    <n v="43010"/>
    <n v="43010"/>
    <n v="43010"/>
    <n v="43010"/>
    <n v="43010"/>
    <n v="473110"/>
  </r>
  <r>
    <x v="0"/>
    <x v="0"/>
    <x v="0"/>
    <s v="Административная деятельность"/>
    <s v="Расходы на канцтовары и обслуживание оргтехники"/>
    <s v="ИТ отдел"/>
    <x v="0"/>
    <x v="6"/>
    <s v="Расходы на канцтовары и обслуживание оргтехники"/>
    <x v="17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0"/>
    <s v="Административная деятельность"/>
    <s v="Расходы на канцтовары и обслуживание оргтехники"/>
    <s v="ИТ отдел"/>
    <x v="0"/>
    <x v="6"/>
    <s v="Расходы на канцтовары и обслуживание оргтехники"/>
    <x v="38"/>
    <m/>
    <m/>
    <n v="8000"/>
    <n v="8000"/>
    <n v="8000"/>
    <n v="8000"/>
    <n v="8000"/>
    <n v="8000"/>
    <n v="8000"/>
    <n v="8000"/>
    <n v="8000"/>
    <n v="8000"/>
    <n v="8000"/>
    <n v="8000"/>
    <n v="96000"/>
  </r>
  <r>
    <x v="0"/>
    <x v="0"/>
    <x v="0"/>
    <s v="Административная деятельность"/>
    <s v="Расходы на налоги"/>
    <s v="ИТ отдел"/>
    <x v="0"/>
    <x v="3"/>
    <s v="Расходы на налоги"/>
    <x v="12"/>
    <m/>
    <m/>
    <n v="2937.22"/>
    <n v="2937.22"/>
    <n v="2937.22"/>
    <n v="2937.22"/>
    <m/>
    <n v="2937.22"/>
    <n v="2937.22"/>
    <n v="2937.22"/>
    <n v="2937.22"/>
    <n v="2937.22"/>
    <n v="2937.22"/>
    <n v="2937.22"/>
    <n v="32309.420000000006"/>
  </r>
  <r>
    <x v="0"/>
    <x v="0"/>
    <x v="0"/>
    <s v="Административная деятельность"/>
    <s v="Расходы на услуги сторонних организаций"/>
    <s v="ИТ отдел"/>
    <x v="0"/>
    <x v="8"/>
    <s v="Расходы на услуги сторонних организаций"/>
    <x v="32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0"/>
    <s v="Административная деятельность"/>
    <s v="Услуги связи"/>
    <s v="ИТ отдел"/>
    <x v="0"/>
    <x v="4"/>
    <s v="Услуги связи"/>
    <x v="33"/>
    <s v="Жаворонков Сергій Вікторович"/>
    <s v="МТС Україна ПРАТ"/>
    <n v="110"/>
    <n v="110"/>
    <n v="110"/>
    <n v="110"/>
    <n v="110"/>
    <n v="110"/>
    <n v="110"/>
    <n v="110"/>
    <n v="110"/>
    <n v="110"/>
    <n v="110"/>
    <n v="110"/>
    <n v="1320"/>
  </r>
  <r>
    <x v="0"/>
    <x v="0"/>
    <x v="0"/>
    <s v="Административная деятельность"/>
    <s v="Услуги связи"/>
    <s v="ИТ отдел"/>
    <x v="0"/>
    <x v="4"/>
    <s v="Услуги связи"/>
    <x v="33"/>
    <m/>
    <m/>
    <n v="3450"/>
    <n v="3450"/>
    <n v="3450"/>
    <n v="3450"/>
    <n v="3450"/>
    <n v="3450"/>
    <n v="3450"/>
    <n v="3450"/>
    <n v="3450"/>
    <n v="3450"/>
    <n v="3450"/>
    <n v="3450"/>
    <n v="4140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s v="Вислоцький Валерій Владиславович"/>
    <s v="Київстар ПрАТ"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s v="Жаворонков Сергій Вікторович"/>
    <s v="Київстар ПрАТ"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s v="Заскалета Сергій Борисович"/>
    <s v="Київстар ПрАТ"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s v="Капустін Павло Васильович"/>
    <s v="Київстар ПрАТ"/>
    <n v="65"/>
    <n v="65"/>
    <n v="65"/>
    <n v="65"/>
    <n v="65"/>
    <n v="65"/>
    <n v="65"/>
    <n v="65"/>
    <n v="65"/>
    <n v="65"/>
    <n v="65"/>
    <n v="65"/>
    <n v="78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s v="Малов Михайло Олександрович"/>
    <s v="Київстар ПрАТ"/>
    <n v="180"/>
    <n v="180"/>
    <n v="180"/>
    <n v="180"/>
    <n v="180"/>
    <n v="180"/>
    <n v="180"/>
    <n v="180"/>
    <n v="180"/>
    <n v="180"/>
    <n v="180"/>
    <n v="180"/>
    <n v="216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m/>
    <s v="Київстар ПрАТ"/>
    <n v="6000"/>
    <n v="6000"/>
    <n v="6000"/>
    <n v="6000"/>
    <n v="6000"/>
    <n v="6000"/>
    <n v="6000"/>
    <n v="6000"/>
    <n v="6000"/>
    <n v="6000"/>
    <n v="6000"/>
    <n v="6000"/>
    <n v="72000"/>
  </r>
  <r>
    <x v="0"/>
    <x v="0"/>
    <x v="0"/>
    <s v="Административная деятельность"/>
    <s v="Услуги связи"/>
    <s v="ИТ отдел"/>
    <x v="0"/>
    <x v="4"/>
    <s v="Услуги связи"/>
    <x v="13"/>
    <m/>
    <m/>
    <n v="4000"/>
    <n v="4000"/>
    <n v="4000"/>
    <n v="4000"/>
    <n v="4000"/>
    <n v="4000"/>
    <n v="4000"/>
    <n v="4000"/>
    <n v="4000"/>
    <n v="4000"/>
    <n v="4000"/>
    <n v="4000"/>
    <n v="48000"/>
  </r>
  <r>
    <x v="0"/>
    <x v="0"/>
    <x v="0"/>
    <s v="Административная деятельность"/>
    <s v="Услуги связи"/>
    <s v="ИТ отдел"/>
    <x v="0"/>
    <x v="4"/>
    <s v="Услуги связи"/>
    <x v="39"/>
    <m/>
    <m/>
    <n v="10000"/>
    <n v="10000"/>
    <n v="10000"/>
    <n v="10000"/>
    <n v="10000"/>
    <n v="10000"/>
    <n v="10000"/>
    <n v="10000"/>
    <n v="10000"/>
    <n v="10000"/>
    <n v="10000"/>
    <n v="10000"/>
    <n v="120000"/>
  </r>
  <r>
    <x v="0"/>
    <x v="0"/>
    <x v="0"/>
    <s v="Административная деятельность"/>
    <s v="Зарплата"/>
    <s v="Отдел закупок (Киев)"/>
    <x v="0"/>
    <x v="0"/>
    <s v="Зарплата"/>
    <x v="0"/>
    <m/>
    <m/>
    <n v="30738"/>
    <n v="30738"/>
    <n v="30738"/>
    <n v="30738"/>
    <n v="30738"/>
    <n v="30738"/>
    <n v="30738"/>
    <n v="30738"/>
    <n v="30738"/>
    <n v="30738"/>
    <n v="30738"/>
    <n v="30738"/>
    <n v="368856"/>
  </r>
  <r>
    <x v="0"/>
    <x v="0"/>
    <x v="0"/>
    <s v="Административная деятельность"/>
    <s v="Расходы на канцтовары и обслуживание оргтехники"/>
    <s v="Отдел закупок (Киев)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0"/>
    <s v="Административная деятельность"/>
    <s v="Расходы на логистику"/>
    <s v="Отдел закупок (Киев)"/>
    <x v="0"/>
    <x v="12"/>
    <s v="Найм транспорта"/>
    <x v="36"/>
    <m/>
    <m/>
    <m/>
    <m/>
    <m/>
    <m/>
    <m/>
    <m/>
    <m/>
    <m/>
    <m/>
    <m/>
    <m/>
    <m/>
    <n v="0"/>
  </r>
  <r>
    <x v="0"/>
    <x v="0"/>
    <x v="0"/>
    <s v="Расходы на маркетинг"/>
    <s v="Расходы на создание новых продуктов"/>
    <s v="Отдел закупок (Киев)"/>
    <x v="0"/>
    <x v="2"/>
    <s v="Расходы на создание новых продуктов"/>
    <x v="40"/>
    <m/>
    <m/>
    <n v="100000"/>
    <n v="100000"/>
    <m/>
    <m/>
    <m/>
    <m/>
    <m/>
    <n v="100000"/>
    <m/>
    <m/>
    <m/>
    <m/>
    <n v="300000"/>
  </r>
  <r>
    <x v="0"/>
    <x v="0"/>
    <x v="0"/>
    <s v="Административная деятельность"/>
    <s v="Расходы на налоги"/>
    <s v="Отдел закупок (Киев)"/>
    <x v="0"/>
    <x v="3"/>
    <s v="Расходы на налоги"/>
    <x v="12"/>
    <m/>
    <m/>
    <n v="2676.96"/>
    <n v="2676.96"/>
    <n v="2676.96"/>
    <n v="2676.96"/>
    <n v="2676.96"/>
    <n v="2676.96"/>
    <n v="2676.96"/>
    <n v="2676.96"/>
    <n v="2676.96"/>
    <n v="2676.96"/>
    <n v="2676.96"/>
    <n v="2676.96"/>
    <n v="32123.519999999993"/>
  </r>
  <r>
    <x v="0"/>
    <x v="0"/>
    <x v="0"/>
    <s v="Административная деятельность"/>
    <s v="Расходы на услуги сторонних организаций"/>
    <s v="Отдел закупок (Киев)"/>
    <x v="0"/>
    <x v="8"/>
    <s v="Расходы на услуги сторонних организаций"/>
    <x v="27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Услуги связи"/>
    <s v="Отдел закупок (Киев)"/>
    <x v="0"/>
    <x v="4"/>
    <s v="Услуги связи"/>
    <x v="13"/>
    <s v="Істраті Марина Юріївна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0"/>
    <s v="Административная деятельность"/>
    <s v="Услуги связи"/>
    <s v="Отдел закупок (Киев)"/>
    <x v="0"/>
    <x v="4"/>
    <s v="Услуги связи"/>
    <x v="13"/>
    <s v="Ковалевич Вікторія Володимирівна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0"/>
    <s v="Административная деятельность"/>
    <s v="Услуги связи"/>
    <s v="Отдел закупок (Киев)"/>
    <x v="0"/>
    <x v="4"/>
    <s v="Услуги связи"/>
    <x v="13"/>
    <s v="Кононенко Сергій Миколайович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0"/>
    <s v="Административная деятельность"/>
    <s v="Услуги связи"/>
    <s v="Отдел закупок (Киев)"/>
    <x v="0"/>
    <x v="4"/>
    <s v="Услуги связи"/>
    <x v="13"/>
    <s v="Степура Віта Вікторівна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0"/>
    <s v="Административная деятельность"/>
    <s v="Зарплата"/>
    <s v="Отдел контроля качества"/>
    <x v="0"/>
    <x v="0"/>
    <s v="Зарплата"/>
    <x v="0"/>
    <m/>
    <m/>
    <n v="24950"/>
    <n v="24950"/>
    <n v="24950"/>
    <n v="24950"/>
    <n v="24950"/>
    <n v="24950"/>
    <n v="24950"/>
    <n v="24950"/>
    <n v="24950"/>
    <n v="24950"/>
    <n v="24950"/>
    <n v="24950"/>
    <n v="299400"/>
  </r>
  <r>
    <x v="0"/>
    <x v="0"/>
    <x v="0"/>
    <s v="Административная деятельность"/>
    <s v="Командировочные расходы"/>
    <s v="Отдел контроля качества"/>
    <x v="0"/>
    <x v="1"/>
    <s v="Командировочные расходы"/>
    <x v="1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0"/>
    <s v="Административная деятельность"/>
    <s v="Расходы на канцтовары и обслуживание оргтехники"/>
    <s v="Отдел контроля качества"/>
    <x v="0"/>
    <x v="6"/>
    <s v="Расходы на канцтовары и обслуживание оргтехники"/>
    <x v="17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0"/>
    <s v="Административная деятельность"/>
    <s v="Расходы на контроль качества"/>
    <s v="Отдел контроля качества"/>
    <x v="0"/>
    <x v="13"/>
    <s v="Расходы на контроль качества"/>
    <x v="41"/>
    <m/>
    <m/>
    <n v="3000"/>
    <n v="3000"/>
    <n v="3000"/>
    <n v="3000"/>
    <n v="3000"/>
    <n v="3000"/>
    <n v="3000"/>
    <n v="3000"/>
    <n v="3000"/>
    <n v="3000"/>
    <n v="3000"/>
    <n v="3000"/>
    <n v="36000"/>
  </r>
  <r>
    <x v="0"/>
    <x v="0"/>
    <x v="0"/>
    <s v="Административная деятельность"/>
    <s v="Расходы на контроль качества"/>
    <s v="Отдел контроля качества"/>
    <x v="0"/>
    <x v="13"/>
    <s v="Расходы на контроль качества"/>
    <x v="42"/>
    <m/>
    <m/>
    <n v="5000"/>
    <m/>
    <n v="15000"/>
    <m/>
    <n v="5500"/>
    <m/>
    <m/>
    <n v="65000"/>
    <m/>
    <n v="6000"/>
    <n v="5000"/>
    <n v="5000"/>
    <n v="106500"/>
  </r>
  <r>
    <x v="0"/>
    <x v="0"/>
    <x v="0"/>
    <s v="Расходы на маркетинг"/>
    <s v="Расходы на создание новых продуктов"/>
    <s v="Отдел контроля качества"/>
    <x v="0"/>
    <x v="2"/>
    <s v="Расходы на создание новых продуктов"/>
    <x v="10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0"/>
    <s v="Расходы на маркетинг"/>
    <s v="Расходы на создание новых продуктов"/>
    <s v="Отдел контроля качества"/>
    <x v="0"/>
    <x v="2"/>
    <s v="Расходы на создание новых продуктов"/>
    <x v="43"/>
    <m/>
    <m/>
    <n v="2000"/>
    <n v="2000"/>
    <n v="2000"/>
    <n v="2000"/>
    <n v="2000"/>
    <n v="2000"/>
    <n v="5000"/>
    <n v="2000"/>
    <n v="2000"/>
    <n v="3000"/>
    <n v="3500"/>
    <n v="3500"/>
    <n v="31000"/>
  </r>
  <r>
    <x v="0"/>
    <x v="0"/>
    <x v="0"/>
    <s v="Административная деятельность"/>
    <s v="Расходы на налоги"/>
    <s v="Отдел контроля качества"/>
    <x v="0"/>
    <x v="3"/>
    <s v="Расходы на налоги"/>
    <x v="12"/>
    <m/>
    <m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30249.599999999995"/>
  </r>
  <r>
    <x v="0"/>
    <x v="0"/>
    <x v="0"/>
    <s v="Административная деятельность"/>
    <s v="Расходы на персонал"/>
    <s v="Отдел контроля качества"/>
    <x v="0"/>
    <x v="7"/>
    <s v="Расходы на персонал"/>
    <x v="29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0"/>
    <s v="Административная деятельность"/>
    <s v="Услуги связи"/>
    <s v="Отдел контроля качества"/>
    <x v="0"/>
    <x v="4"/>
    <s v="Услуги связи"/>
    <x v="13"/>
    <s v="Буджак Олена Леонідівна"/>
    <m/>
    <n v="62"/>
    <n v="62"/>
    <n v="62"/>
    <n v="62"/>
    <n v="62"/>
    <n v="62"/>
    <n v="62"/>
    <n v="62"/>
    <n v="62"/>
    <n v="62"/>
    <n v="62"/>
    <n v="62"/>
    <n v="744"/>
  </r>
  <r>
    <x v="0"/>
    <x v="0"/>
    <x v="0"/>
    <s v="Административная деятельность"/>
    <s v="Услуги связи"/>
    <s v="Отдел контроля качества"/>
    <x v="0"/>
    <x v="4"/>
    <s v="Услуги связи"/>
    <x v="13"/>
    <s v="Мартус Валентина Михайлівна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Зарплата"/>
    <s v="Отдел персонала"/>
    <x v="0"/>
    <x v="0"/>
    <s v="Зарплата"/>
    <x v="0"/>
    <m/>
    <m/>
    <n v="26560"/>
    <n v="26560"/>
    <n v="26560"/>
    <n v="26560"/>
    <n v="26560"/>
    <n v="26560"/>
    <n v="26560"/>
    <n v="26560"/>
    <n v="26560"/>
    <n v="26560"/>
    <n v="26560"/>
    <n v="26560"/>
    <n v="318720"/>
  </r>
  <r>
    <x v="0"/>
    <x v="0"/>
    <x v="0"/>
    <s v="Административная деятельность"/>
    <s v="Расходы на канцтовары и обслуживание оргтехники"/>
    <s v="Отдел персонала"/>
    <x v="0"/>
    <x v="6"/>
    <s v="Расходы на канцтовары и обслуживание оргтехники"/>
    <x v="17"/>
    <m/>
    <m/>
    <n v="350"/>
    <n v="350"/>
    <n v="400"/>
    <n v="400"/>
    <n v="400"/>
    <n v="400"/>
    <n v="400"/>
    <n v="400"/>
    <n v="400"/>
    <n v="400"/>
    <n v="400"/>
    <n v="400"/>
    <n v="4700"/>
  </r>
  <r>
    <x v="0"/>
    <x v="0"/>
    <x v="0"/>
    <s v="Административная деятельность"/>
    <s v="Расходы на налоги"/>
    <s v="Отдел персонала"/>
    <x v="0"/>
    <x v="3"/>
    <s v="Расходы на налоги"/>
    <x v="12"/>
    <m/>
    <m/>
    <n v="2565.42"/>
    <n v="2565.42"/>
    <n v="2565.42"/>
    <n v="2565.42"/>
    <n v="2565.42"/>
    <n v="2565.42"/>
    <n v="2565.42"/>
    <n v="2565.42"/>
    <n v="2565.42"/>
    <n v="2565.42"/>
    <n v="2565.42"/>
    <n v="2565.42"/>
    <n v="30785.039999999994"/>
  </r>
  <r>
    <x v="0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4"/>
    <m/>
    <m/>
    <n v="3500"/>
    <n v="4000"/>
    <n v="15000"/>
    <n v="2000"/>
    <n v="2000"/>
    <n v="40000"/>
    <n v="2000"/>
    <n v="2000"/>
    <n v="2000"/>
    <n v="15000"/>
    <n v="2000"/>
    <n v="100000"/>
    <n v="189500"/>
  </r>
  <r>
    <x v="0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5"/>
    <m/>
    <m/>
    <n v="5000"/>
    <n v="10000"/>
    <n v="10000"/>
    <n v="10000"/>
    <n v="10000"/>
    <n v="10000"/>
    <n v="10000"/>
    <n v="10000"/>
    <n v="10000"/>
    <n v="10000"/>
    <n v="10000"/>
    <n v="10000"/>
    <n v="115000"/>
  </r>
  <r>
    <x v="0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6"/>
    <m/>
    <m/>
    <n v="4000"/>
    <n v="4000"/>
    <n v="5000"/>
    <n v="5000"/>
    <n v="5000"/>
    <n v="5000"/>
    <n v="5000"/>
    <n v="5000"/>
    <n v="5000"/>
    <n v="5000"/>
    <n v="5000"/>
    <n v="5000"/>
    <n v="58000"/>
  </r>
  <r>
    <x v="0"/>
    <x v="0"/>
    <x v="0"/>
    <s v="Административная деятельность"/>
    <s v="Расходы на услуги сторонних организаций"/>
    <s v="Отдел персонала"/>
    <x v="0"/>
    <x v="8"/>
    <s v="Расходы на услуги сторонних организаций"/>
    <x v="47"/>
    <m/>
    <m/>
    <n v="10400"/>
    <n v="2700"/>
    <n v="2700"/>
    <n v="400"/>
    <n v="400"/>
    <n v="400"/>
    <n v="400"/>
    <n v="400"/>
    <n v="400"/>
    <n v="400"/>
    <n v="400"/>
    <n v="400"/>
    <n v="19400"/>
  </r>
  <r>
    <x v="0"/>
    <x v="0"/>
    <x v="0"/>
    <s v="Административная деятельность"/>
    <s v="Услуги связи"/>
    <s v="Отдел персонала"/>
    <x v="0"/>
    <x v="4"/>
    <s v="Услуги связи"/>
    <x v="13"/>
    <s v="Мащенко Тетяна Олександрівна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Услуги связи"/>
    <s v="Отдел персонала"/>
    <x v="0"/>
    <x v="4"/>
    <s v="Услуги связи"/>
    <x v="13"/>
    <m/>
    <m/>
    <n v="402"/>
    <n v="402"/>
    <n v="402"/>
    <n v="402"/>
    <n v="402"/>
    <n v="402"/>
    <n v="402"/>
    <n v="402"/>
    <n v="402"/>
    <n v="402"/>
    <n v="402"/>
    <n v="402"/>
    <n v="4824"/>
  </r>
  <r>
    <x v="0"/>
    <x v="0"/>
    <x v="0"/>
    <s v="Административная деятельность"/>
    <s v="Зарплата"/>
    <s v="Охрана труда"/>
    <x v="0"/>
    <x v="0"/>
    <s v="Зарплата"/>
    <x v="0"/>
    <m/>
    <m/>
    <n v="11533"/>
    <n v="11533"/>
    <n v="11533"/>
    <n v="11533"/>
    <n v="11533"/>
    <n v="11533"/>
    <n v="11533"/>
    <n v="11533"/>
    <n v="11533"/>
    <n v="11533"/>
    <n v="11533"/>
    <n v="11533"/>
    <n v="138396"/>
  </r>
  <r>
    <x v="0"/>
    <x v="0"/>
    <x v="0"/>
    <s v="Административная деятельность"/>
    <s v="Командировочные расходы"/>
    <s v="Охрана труда"/>
    <x v="0"/>
    <x v="1"/>
    <s v="Командировочные расходы"/>
    <x v="1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Расходы на канцтовары и обслуживание оргтехники"/>
    <s v="Охрана труда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0"/>
    <s v="Административная деятельность"/>
    <s v="Расходы на налоги"/>
    <s v="Охрана труда"/>
    <x v="0"/>
    <x v="3"/>
    <s v="Расходы на налоги"/>
    <x v="12"/>
    <m/>
    <m/>
    <n v="1673.1"/>
    <n v="1673.1"/>
    <n v="1673.1"/>
    <n v="1673.1"/>
    <n v="1673.1"/>
    <n v="1673.1"/>
    <n v="1673.1"/>
    <n v="1673.1"/>
    <n v="1673.1"/>
    <n v="1673.1"/>
    <n v="1673.1"/>
    <n v="1673.1"/>
    <n v="20077.199999999997"/>
  </r>
  <r>
    <x v="0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45"/>
    <m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48"/>
    <m/>
    <m/>
    <m/>
    <m/>
    <m/>
    <m/>
    <n v="2400"/>
    <n v="2400"/>
    <n v="2400"/>
    <m/>
    <m/>
    <m/>
    <m/>
    <m/>
    <n v="7200"/>
  </r>
  <r>
    <x v="0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26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27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47"/>
    <m/>
    <m/>
    <n v="2000"/>
    <n v="2000"/>
    <n v="2000"/>
    <n v="2000"/>
    <n v="2000"/>
    <n v="2000"/>
    <n v="2000"/>
    <n v="2000"/>
    <n v="2000"/>
    <n v="2000"/>
    <n v="2000"/>
    <n v="2000"/>
    <n v="24000"/>
  </r>
  <r>
    <x v="0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32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Услуги связи"/>
    <s v="Охрана труда"/>
    <x v="0"/>
    <x v="4"/>
    <s v="Услуги связи"/>
    <x v="13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0"/>
    <s v="Административная деятельность"/>
    <s v="Зарплата"/>
    <s v="Служба безопасности"/>
    <x v="0"/>
    <x v="0"/>
    <s v="Зарплата"/>
    <x v="0"/>
    <m/>
    <m/>
    <n v="41988"/>
    <n v="41988"/>
    <n v="41988"/>
    <n v="41988"/>
    <n v="41988"/>
    <n v="41988"/>
    <n v="41988"/>
    <n v="41988"/>
    <n v="41988"/>
    <n v="41988"/>
    <n v="41988"/>
    <n v="41988"/>
    <n v="503856"/>
  </r>
  <r>
    <x v="0"/>
    <x v="0"/>
    <x v="0"/>
    <s v="Административная деятельность"/>
    <s v="Командировочные расходы"/>
    <s v="Служба безопасности"/>
    <x v="0"/>
    <x v="1"/>
    <s v="Командировочные расходы"/>
    <x v="1"/>
    <m/>
    <m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0"/>
    <s v="Административная деятельность"/>
    <s v="Расходы на канцтовары и обслуживание оргтехники"/>
    <s v="Служба безопасности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0"/>
    <s v="Административная деятельность"/>
    <s v="Расходы на налоги"/>
    <s v="Служба безопасности"/>
    <x v="0"/>
    <x v="3"/>
    <s v="Расходы на налоги"/>
    <x v="12"/>
    <m/>
    <m/>
    <n v="2676.96"/>
    <n v="2676.96"/>
    <n v="2676.96"/>
    <n v="2676.96"/>
    <n v="2676.96"/>
    <n v="2676.96"/>
    <n v="2676.96"/>
    <n v="2676.96"/>
    <n v="2676.96"/>
    <n v="2676.96"/>
    <n v="2676.96"/>
    <n v="2676.96"/>
    <n v="32123.519999999993"/>
  </r>
  <r>
    <x v="0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29"/>
    <s v="Бражник Ігор Костянтинович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29"/>
    <s v="Кірєєв Юрій Вікторович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29"/>
    <s v="Скворцов Олексій Вікторович"/>
    <m/>
    <n v="3000"/>
    <n v="3000"/>
    <n v="3000"/>
    <n v="3000"/>
    <n v="3000"/>
    <n v="3000"/>
    <n v="3000"/>
    <n v="3000"/>
    <n v="3000"/>
    <n v="3000"/>
    <n v="3000"/>
    <n v="3000"/>
    <n v="36000"/>
  </r>
  <r>
    <x v="0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29"/>
    <s v="Скорженко Василь Олексійович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Административная деятельность"/>
    <s v="Расходы на услуги сторонних организаций"/>
    <s v="Служба безопасности"/>
    <x v="0"/>
    <x v="8"/>
    <s v="Расходы на услуги сторонних организаций"/>
    <x v="27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0"/>
    <s v="Административная деятельность"/>
    <s v="Расходы на услуги сторонних организаций"/>
    <s v="Служба безопасности"/>
    <x v="0"/>
    <x v="8"/>
    <s v="Расходы на услуги сторонних организаций"/>
    <x v="47"/>
    <m/>
    <m/>
    <n v="1100"/>
    <n v="1100"/>
    <n v="1100"/>
    <n v="1100"/>
    <n v="1100"/>
    <n v="1100"/>
    <n v="1100"/>
    <n v="1100"/>
    <n v="1100"/>
    <n v="1100"/>
    <n v="1100"/>
    <n v="1100"/>
    <n v="13200"/>
  </r>
  <r>
    <x v="0"/>
    <x v="0"/>
    <x v="0"/>
    <s v="Административная деятельность"/>
    <s v="Услуги связи"/>
    <s v="Служба безопасности"/>
    <x v="0"/>
    <x v="4"/>
    <s v="Услуги связи"/>
    <x v="13"/>
    <s v="Бражник Ігор Костянтинович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Услуги связи"/>
    <s v="Служба безопасности"/>
    <x v="0"/>
    <x v="4"/>
    <s v="Услуги связи"/>
    <x v="13"/>
    <s v="Скворцов Олексій Вікторович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Услуги связи"/>
    <s v="Служба безопасности"/>
    <x v="0"/>
    <x v="4"/>
    <s v="Услуги связи"/>
    <x v="13"/>
    <s v="Скорженко Василь Олексійович"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Услуги связи"/>
    <s v="Служба безопасности"/>
    <x v="0"/>
    <x v="4"/>
    <s v="Услуги связи"/>
    <x v="13"/>
    <m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0"/>
    <s v="Административная деятельность"/>
    <s v="Зарплата"/>
    <s v="Трейд - маркетинг"/>
    <x v="0"/>
    <x v="0"/>
    <s v="Зарплата"/>
    <x v="0"/>
    <m/>
    <m/>
    <n v="7210"/>
    <n v="7210"/>
    <n v="7210"/>
    <n v="7210"/>
    <n v="7210"/>
    <n v="7210"/>
    <n v="7210"/>
    <n v="7210"/>
    <n v="7210"/>
    <n v="7210"/>
    <n v="7210"/>
    <n v="7210"/>
    <n v="86520"/>
  </r>
  <r>
    <x v="0"/>
    <x v="0"/>
    <x v="0"/>
    <s v="Административная деятельность"/>
    <s v="Расходы на налоги"/>
    <s v="Трейд - маркетинг"/>
    <x v="0"/>
    <x v="3"/>
    <s v="Расходы на налоги"/>
    <x v="12"/>
    <m/>
    <m/>
    <n v="505.65"/>
    <n v="505.65"/>
    <n v="505.65"/>
    <n v="505.65"/>
    <n v="505.65"/>
    <n v="505.65"/>
    <n v="505.65"/>
    <n v="505.65"/>
    <n v="505.65"/>
    <n v="505.65"/>
    <n v="505.65"/>
    <n v="505.65"/>
    <n v="6067.7999999999993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49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0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1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2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3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4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5"/>
    <m/>
    <m/>
    <m/>
    <m/>
    <m/>
    <m/>
    <m/>
    <m/>
    <m/>
    <m/>
    <m/>
    <m/>
    <m/>
    <m/>
    <n v="0"/>
  </r>
  <r>
    <x v="0"/>
    <x v="0"/>
    <x v="0"/>
    <s v="Расходы на трейд-маркетинг"/>
    <s v="Трейд-маркетинг"/>
    <s v="Трейд - маркетинг"/>
    <x v="0"/>
    <x v="14"/>
    <s v="Трейд-маркетинг"/>
    <x v="56"/>
    <m/>
    <m/>
    <m/>
    <m/>
    <m/>
    <m/>
    <m/>
    <m/>
    <m/>
    <m/>
    <m/>
    <m/>
    <m/>
    <m/>
    <n v="0"/>
  </r>
  <r>
    <x v="0"/>
    <x v="0"/>
    <x v="0"/>
    <s v="Административная деятельность"/>
    <s v="Услуги связи"/>
    <s v="Трейд - маркетинг"/>
    <x v="0"/>
    <x v="4"/>
    <s v="Услуги связи"/>
    <x v="13"/>
    <m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Административная деятельность"/>
    <s v="Аренда"/>
    <s v="Финансово - экономический отдел"/>
    <x v="0"/>
    <x v="9"/>
    <s v="Аренда"/>
    <x v="28"/>
    <m/>
    <m/>
    <n v="6500"/>
    <n v="6500"/>
    <n v="6500"/>
    <n v="6500"/>
    <n v="6500"/>
    <n v="6500"/>
    <n v="6500"/>
    <n v="6500"/>
    <n v="6500"/>
    <n v="6500"/>
    <n v="6500"/>
    <n v="6500"/>
    <n v="78000"/>
  </r>
  <r>
    <x v="0"/>
    <x v="0"/>
    <x v="0"/>
    <s v="Административная деятельность"/>
    <s v="Зарплата"/>
    <s v="Финансово - экономический отдел"/>
    <x v="0"/>
    <x v="0"/>
    <s v="Зарплата"/>
    <x v="0"/>
    <m/>
    <m/>
    <n v="44910"/>
    <n v="44910"/>
    <n v="44910"/>
    <n v="44910"/>
    <n v="44910"/>
    <n v="44910"/>
    <n v="44910"/>
    <n v="44910"/>
    <n v="44910"/>
    <n v="44910"/>
    <n v="44910"/>
    <n v="44910"/>
    <n v="538920"/>
  </r>
  <r>
    <x v="0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57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58"/>
    <m/>
    <m/>
    <n v="25000"/>
    <n v="25000"/>
    <n v="25000"/>
    <n v="25000"/>
    <n v="25000"/>
    <n v="25000"/>
    <n v="25000"/>
    <n v="25000"/>
    <n v="25000"/>
    <n v="25000"/>
    <n v="25000"/>
    <n v="25000"/>
    <n v="300000"/>
  </r>
  <r>
    <x v="0"/>
    <x v="0"/>
    <x v="0"/>
    <s v="Административная деятельность"/>
    <s v="Расходы на канцтовары и обслуживание оргтехники"/>
    <s v="Финансово - экономический отдел"/>
    <x v="0"/>
    <x v="6"/>
    <s v="Расходы на канцтовары и обслуживание оргтехники"/>
    <x v="17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0"/>
    <s v="Административная деятельность"/>
    <s v="Расходы на налоги"/>
    <s v="Финансово - экономический отдел"/>
    <x v="0"/>
    <x v="3"/>
    <s v="Расходы на налоги"/>
    <x v="12"/>
    <m/>
    <m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2520.8000000000002"/>
    <n v="30249.599999999995"/>
  </r>
  <r>
    <x v="0"/>
    <x v="0"/>
    <x v="0"/>
    <s v="Расходы на налоги"/>
    <s v="Расходы на налоги"/>
    <s v="Финансово - экономический отдел"/>
    <x v="0"/>
    <x v="3"/>
    <s v="Расходы на налоги"/>
    <x v="59"/>
    <m/>
    <m/>
    <n v="50000"/>
    <n v="50000"/>
    <n v="50000"/>
    <n v="50000"/>
    <n v="50000"/>
    <n v="50000"/>
    <n v="50000"/>
    <n v="50000"/>
    <n v="50000"/>
    <n v="50000"/>
    <n v="50000"/>
    <n v="50000"/>
    <n v="600000"/>
  </r>
  <r>
    <x v="0"/>
    <x v="0"/>
    <x v="0"/>
    <s v="Административная деятельность"/>
    <s v="Расходы на персонал"/>
    <s v="Финансово - экономический отдел"/>
    <x v="0"/>
    <x v="7"/>
    <s v="Расходы на персонал"/>
    <x v="29"/>
    <m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60"/>
    <m/>
    <m/>
    <n v="4000"/>
    <n v="4000"/>
    <n v="4000"/>
    <n v="4000"/>
    <n v="4000"/>
    <n v="4000"/>
    <n v="4000"/>
    <n v="4000"/>
    <n v="4000"/>
    <n v="4000"/>
    <n v="4000"/>
    <n v="4000"/>
    <n v="48000"/>
  </r>
  <r>
    <x v="0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47"/>
    <m/>
    <s v="Гричко В.А."/>
    <n v="20000"/>
    <m/>
    <m/>
    <m/>
    <m/>
    <m/>
    <m/>
    <m/>
    <m/>
    <m/>
    <m/>
    <m/>
    <n v="20000"/>
  </r>
  <r>
    <x v="0"/>
    <x v="0"/>
    <x v="0"/>
    <s v="Административная деятельность"/>
    <s v="Услуги связи"/>
    <s v="Финансово - экономический отдел"/>
    <x v="0"/>
    <x v="4"/>
    <s v="Услуги связи"/>
    <x v="33"/>
    <m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0"/>
    <s v="Административная деятельность"/>
    <s v="Услуги связи"/>
    <s v="Финансово - экономический отдел"/>
    <x v="0"/>
    <x v="4"/>
    <s v="Услуги связи"/>
    <x v="13"/>
    <m/>
    <m/>
    <n v="380"/>
    <n v="380"/>
    <n v="380"/>
    <n v="380"/>
    <n v="380"/>
    <n v="380"/>
    <n v="380"/>
    <n v="380"/>
    <n v="380"/>
    <n v="380"/>
    <n v="380"/>
    <n v="380"/>
    <n v="4560"/>
  </r>
  <r>
    <x v="0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1"/>
    <m/>
    <m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2"/>
    <m/>
    <m/>
    <n v="300000"/>
    <n v="425561"/>
    <n v="425561"/>
    <n v="425561"/>
    <n v="425561"/>
    <n v="425561"/>
    <n v="425561"/>
    <n v="425561"/>
    <n v="425561"/>
    <n v="425561"/>
    <n v="425561"/>
    <n v="425561"/>
    <n v="4981171"/>
  </r>
  <r>
    <x v="0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3"/>
    <m/>
    <m/>
    <n v="20000"/>
    <n v="20000"/>
    <n v="20000"/>
    <n v="20000"/>
    <n v="20000"/>
    <n v="20000"/>
    <n v="20000"/>
    <n v="20000"/>
    <n v="20000"/>
    <n v="20000"/>
    <n v="20000"/>
    <n v="20000"/>
    <n v="240000"/>
  </r>
  <r>
    <x v="0"/>
    <x v="0"/>
    <x v="0"/>
    <s v="Административная деятельность"/>
    <s v="Аренда"/>
    <s v="Юридический отдел"/>
    <x v="0"/>
    <x v="9"/>
    <s v="Аренда"/>
    <x v="28"/>
    <s v="Семенюк Валентина Миколаївна"/>
    <m/>
    <n v="5500"/>
    <n v="5500"/>
    <n v="5500"/>
    <n v="5500"/>
    <n v="5500"/>
    <n v="5500"/>
    <n v="5500"/>
    <n v="5500"/>
    <n v="5500"/>
    <n v="5500"/>
    <n v="5500"/>
    <n v="5500"/>
    <n v="66000"/>
  </r>
  <r>
    <x v="0"/>
    <x v="0"/>
    <x v="0"/>
    <s v="Административная деятельность"/>
    <s v="Зарплата"/>
    <s v="Юридический отдел"/>
    <x v="0"/>
    <x v="0"/>
    <s v="Зарплата"/>
    <x v="0"/>
    <m/>
    <m/>
    <n v="18016"/>
    <n v="18016"/>
    <n v="18016"/>
    <n v="18016"/>
    <n v="18016"/>
    <n v="18016"/>
    <n v="18016"/>
    <n v="18016"/>
    <n v="18016"/>
    <n v="18016"/>
    <n v="18016"/>
    <n v="18016"/>
    <n v="216192"/>
  </r>
  <r>
    <x v="0"/>
    <x v="0"/>
    <x v="0"/>
    <s v="Административная деятельность"/>
    <s v="Командировочные расходы"/>
    <s v="Юридический отдел"/>
    <x v="0"/>
    <x v="1"/>
    <s v="Командировочные расходы"/>
    <x v="1"/>
    <s v="Семенюк Валентина Миколаївна"/>
    <m/>
    <n v="1100"/>
    <n v="1100"/>
    <n v="1100"/>
    <n v="1100"/>
    <n v="1100"/>
    <n v="1100"/>
    <n v="1100"/>
    <n v="1100"/>
    <n v="1100"/>
    <n v="1100"/>
    <n v="1100"/>
    <n v="1100"/>
    <n v="13200"/>
  </r>
  <r>
    <x v="0"/>
    <x v="0"/>
    <x v="0"/>
    <s v="Административная деятельность"/>
    <s v="Расходы на канцтовары и обслуживание оргтехники"/>
    <s v="Юридический отдел"/>
    <x v="0"/>
    <x v="6"/>
    <s v="Расходы на канцтовары и обслуживание оргтехники"/>
    <x v="17"/>
    <m/>
    <m/>
    <n v="150"/>
    <n v="150"/>
    <n v="150"/>
    <n v="150"/>
    <n v="150"/>
    <n v="150"/>
    <n v="150"/>
    <n v="150"/>
    <n v="150"/>
    <n v="150"/>
    <n v="150"/>
    <n v="150"/>
    <n v="1800"/>
  </r>
  <r>
    <x v="0"/>
    <x v="0"/>
    <x v="0"/>
    <s v="Административная деятельность"/>
    <s v="Расходы на налоги"/>
    <s v="Юридический отдел"/>
    <x v="0"/>
    <x v="3"/>
    <s v="Расходы на налоги"/>
    <x v="12"/>
    <m/>
    <m/>
    <n v="1487.2"/>
    <n v="1487.2"/>
    <n v="1487.2"/>
    <n v="1487.2"/>
    <n v="1487.2"/>
    <n v="1487.2"/>
    <n v="1487.2"/>
    <n v="1487.2"/>
    <n v="1487.2"/>
    <n v="1487.2"/>
    <n v="1487.2"/>
    <n v="1487.2"/>
    <n v="17846.400000000005"/>
  </r>
  <r>
    <x v="0"/>
    <x v="0"/>
    <x v="0"/>
    <s v="Административная деятельность"/>
    <s v="Расходы на персонал"/>
    <s v="Юридический отдел"/>
    <x v="0"/>
    <x v="7"/>
    <s v="Расходы на персонал"/>
    <x v="26"/>
    <s v="Корольова Ірина Олександрівна"/>
    <m/>
    <n v="50"/>
    <n v="50"/>
    <n v="50"/>
    <n v="50"/>
    <n v="50"/>
    <n v="50"/>
    <n v="50"/>
    <n v="50"/>
    <n v="50"/>
    <n v="50"/>
    <n v="50"/>
    <n v="50"/>
    <n v="600"/>
  </r>
  <r>
    <x v="0"/>
    <x v="0"/>
    <x v="0"/>
    <s v="Административная деятельность"/>
    <s v="Расходы на персонал"/>
    <s v="Юридический отдел"/>
    <x v="0"/>
    <x v="7"/>
    <s v="Расходы на персонал"/>
    <x v="26"/>
    <s v="Семенюк Валентина Миколаївна"/>
    <m/>
    <n v="400"/>
    <n v="400"/>
    <n v="500"/>
    <n v="400"/>
    <n v="500"/>
    <n v="500"/>
    <n v="400"/>
    <n v="500"/>
    <n v="400"/>
    <n v="400"/>
    <n v="500"/>
    <n v="400"/>
    <n v="5300"/>
  </r>
  <r>
    <x v="0"/>
    <x v="0"/>
    <x v="0"/>
    <s v="Административная деятельность"/>
    <s v="Расходы на услуги сторонних организаций"/>
    <s v="Юридический отдел"/>
    <x v="0"/>
    <x v="8"/>
    <s v="Расходы на услуги сторонних организаций"/>
    <x v="47"/>
    <m/>
    <m/>
    <n v="16108"/>
    <n v="16108"/>
    <n v="19024"/>
    <n v="16108"/>
    <n v="16108"/>
    <n v="19024"/>
    <n v="16108"/>
    <n v="16108"/>
    <n v="19024"/>
    <n v="16108"/>
    <n v="16108"/>
    <n v="19024"/>
    <n v="204960"/>
  </r>
  <r>
    <x v="0"/>
    <x v="0"/>
    <x v="0"/>
    <s v="Административная деятельность"/>
    <s v="Расходы на услуги сторонних организаций"/>
    <s v="Юридический отдел"/>
    <x v="0"/>
    <x v="8"/>
    <s v="Расходы на услуги сторонних организаций"/>
    <x v="64"/>
    <m/>
    <m/>
    <n v="6500"/>
    <n v="6500"/>
    <n v="6500"/>
    <n v="6500"/>
    <n v="6500"/>
    <n v="6500"/>
    <n v="6500"/>
    <n v="6500"/>
    <n v="6500"/>
    <n v="6500"/>
    <n v="6500"/>
    <n v="6500"/>
    <n v="78000"/>
  </r>
  <r>
    <x v="0"/>
    <x v="0"/>
    <x v="0"/>
    <s v="Административная деятельность"/>
    <s v="Услуги связи"/>
    <s v="Юридический отдел"/>
    <x v="0"/>
    <x v="4"/>
    <s v="Услуги связи"/>
    <x v="13"/>
    <s v="Корольова Ірина Олександрівна"/>
    <m/>
    <n v="61"/>
    <n v="61"/>
    <n v="61"/>
    <n v="61"/>
    <n v="61"/>
    <n v="61"/>
    <n v="61"/>
    <n v="61"/>
    <n v="61"/>
    <n v="61"/>
    <n v="61"/>
    <n v="61"/>
    <n v="732"/>
  </r>
  <r>
    <x v="0"/>
    <x v="0"/>
    <x v="0"/>
    <s v="Административная деятельность"/>
    <s v="Услуги связи"/>
    <s v="Юридический отдел"/>
    <x v="0"/>
    <x v="4"/>
    <s v="Услуги связи"/>
    <x v="13"/>
    <s v="Семенюк Валентина Миколаї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Зарплата"/>
    <s v="Директор по продажам и фин инспектор"/>
    <x v="0"/>
    <x v="0"/>
    <s v="Зарплата"/>
    <x v="0"/>
    <m/>
    <m/>
    <n v="11480"/>
    <n v="11480"/>
    <n v="11480"/>
    <n v="11480"/>
    <n v="11480"/>
    <n v="11480"/>
    <n v="11480"/>
    <n v="11480"/>
    <n v="11480"/>
    <n v="11480"/>
    <n v="11480"/>
    <n v="11480"/>
    <n v="137760"/>
  </r>
  <r>
    <x v="0"/>
    <x v="0"/>
    <x v="1"/>
    <s v="Продажи"/>
    <s v="Командировочные расходы"/>
    <s v="Директор по продажам и фин инспектор"/>
    <x v="0"/>
    <x v="1"/>
    <s v="Командировочные расходы"/>
    <x v="1"/>
    <m/>
    <m/>
    <m/>
    <m/>
    <m/>
    <m/>
    <m/>
    <m/>
    <m/>
    <m/>
    <m/>
    <m/>
    <m/>
    <m/>
    <n v="0"/>
  </r>
  <r>
    <x v="0"/>
    <x v="0"/>
    <x v="1"/>
    <s v="Продажи"/>
    <s v="Расходы на канцтовары и обслуживание оргтехники"/>
    <s v="Директор по продажам и фин инспектор"/>
    <x v="0"/>
    <x v="6"/>
    <s v="Расходы на канцтовары и обслуживание оргтехники"/>
    <x v="17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1"/>
    <s v="Продажи"/>
    <s v="Расходы на налоги"/>
    <s v="Директор по продажам и фин инспектор"/>
    <x v="0"/>
    <x v="3"/>
    <s v="Расходы на налоги"/>
    <x v="12"/>
    <m/>
    <m/>
    <n v="557.70000000000005"/>
    <n v="557.70000000000005"/>
    <n v="557.70000000000005"/>
    <n v="557.70000000000005"/>
    <n v="557.70000000000005"/>
    <n v="557.70000000000005"/>
    <n v="557.70000000000005"/>
    <n v="557.70000000000005"/>
    <n v="557.70000000000005"/>
    <n v="557.70000000000005"/>
    <n v="557.70000000000005"/>
    <n v="557.70000000000005"/>
    <n v="6692.3999999999987"/>
  </r>
  <r>
    <x v="0"/>
    <x v="0"/>
    <x v="1"/>
    <s v="Продажи"/>
    <s v="Расходы на персонал"/>
    <s v="Директор по продажам и фин инспектор"/>
    <x v="0"/>
    <x v="7"/>
    <s v="Расходы на персонал"/>
    <x v="37"/>
    <m/>
    <m/>
    <m/>
    <m/>
    <m/>
    <m/>
    <m/>
    <m/>
    <m/>
    <m/>
    <m/>
    <m/>
    <m/>
    <m/>
    <n v="0"/>
  </r>
  <r>
    <x v="0"/>
    <x v="0"/>
    <x v="1"/>
    <s v="Продажи"/>
    <s v="Расходы на персонал"/>
    <s v="Директор по продажам и фин инспектор"/>
    <x v="0"/>
    <x v="7"/>
    <s v="Расходы на персонал"/>
    <x v="29"/>
    <m/>
    <m/>
    <m/>
    <m/>
    <m/>
    <m/>
    <m/>
    <m/>
    <m/>
    <m/>
    <m/>
    <m/>
    <m/>
    <m/>
    <n v="0"/>
  </r>
  <r>
    <x v="0"/>
    <x v="0"/>
    <x v="1"/>
    <s v="Продажи"/>
    <s v="Услуги связи"/>
    <s v="Директор по продажам и фин инспектор"/>
    <x v="0"/>
    <x v="4"/>
    <s v="Услуги связи"/>
    <x v="13"/>
    <m/>
    <m/>
    <n v="350"/>
    <n v="350"/>
    <n v="350"/>
    <n v="350"/>
    <n v="350"/>
    <n v="350"/>
    <n v="350"/>
    <n v="350"/>
    <n v="350"/>
    <n v="350"/>
    <n v="350"/>
    <n v="350"/>
    <n v="4200"/>
  </r>
  <r>
    <x v="0"/>
    <x v="0"/>
    <x v="1"/>
    <s v="Продажи"/>
    <s v="Зарплата"/>
    <s v="Холодильное оборудование"/>
    <x v="0"/>
    <x v="0"/>
    <s v="Зарплата"/>
    <x v="0"/>
    <m/>
    <m/>
    <n v="9916"/>
    <n v="9916"/>
    <n v="9916"/>
    <n v="9916"/>
    <n v="9916"/>
    <n v="9916"/>
    <n v="9916"/>
    <n v="9916"/>
    <n v="9916"/>
    <n v="9916"/>
    <n v="9916"/>
    <n v="9916"/>
    <n v="118992"/>
  </r>
  <r>
    <x v="0"/>
    <x v="0"/>
    <x v="1"/>
    <s v="Продажи"/>
    <s v="Командировочные расходы"/>
    <s v="Холодильное оборудование"/>
    <x v="0"/>
    <x v="1"/>
    <s v="Командировочные расходы"/>
    <x v="1"/>
    <s v="Смолкін Микола Миколайович"/>
    <m/>
    <m/>
    <m/>
    <n v="840"/>
    <m/>
    <n v="1150"/>
    <n v="550"/>
    <n v="700"/>
    <n v="1550"/>
    <n v="1600"/>
    <n v="2450"/>
    <m/>
    <m/>
    <n v="8840"/>
  </r>
  <r>
    <x v="0"/>
    <x v="0"/>
    <x v="1"/>
    <s v="Продажи"/>
    <s v="Командировочные расходы"/>
    <s v="Холодильное оборудование"/>
    <x v="0"/>
    <x v="1"/>
    <s v="Командировочные расходы"/>
    <x v="1"/>
    <s v="Тютюнников Андрій Іванович"/>
    <m/>
    <n v="650"/>
    <n v="650"/>
    <n v="1200"/>
    <n v="2050"/>
    <n v="950"/>
    <n v="650"/>
    <n v="650"/>
    <n v="950"/>
    <n v="1050"/>
    <n v="650"/>
    <n v="650"/>
    <n v="650"/>
    <n v="10750"/>
  </r>
  <r>
    <x v="0"/>
    <x v="0"/>
    <x v="1"/>
    <s v="Продажи"/>
    <s v="Расходы на канцтовары и обслуживание оргтехники"/>
    <s v="Холодильное оборудование"/>
    <x v="0"/>
    <x v="6"/>
    <s v="Расходы на канцтовары и обслуживание оргтехники"/>
    <x v="17"/>
    <s v="Тютюнников Андрій Іванович"/>
    <m/>
    <n v="50"/>
    <n v="50"/>
    <n v="50"/>
    <n v="50"/>
    <n v="50"/>
    <n v="50"/>
    <n v="50"/>
    <n v="50"/>
    <n v="50"/>
    <n v="50"/>
    <n v="50"/>
    <n v="50"/>
    <n v="600"/>
  </r>
  <r>
    <x v="0"/>
    <x v="0"/>
    <x v="1"/>
    <s v="Продажи"/>
    <s v="Расходы на налоги"/>
    <s v="Холодильное оборудование"/>
    <x v="0"/>
    <x v="3"/>
    <s v="Расходы на налоги"/>
    <x v="12"/>
    <m/>
    <m/>
    <n v="632.05999999999995"/>
    <n v="632.05999999999995"/>
    <n v="632.05999999999995"/>
    <n v="632.05999999999995"/>
    <n v="632.05999999999995"/>
    <n v="632.05999999999995"/>
    <n v="632.05999999999995"/>
    <n v="632.05999999999995"/>
    <n v="632.05999999999995"/>
    <n v="632.05999999999995"/>
    <n v="632.05999999999995"/>
    <n v="632.05999999999995"/>
    <n v="7584.7199999999975"/>
  </r>
  <r>
    <x v="0"/>
    <x v="0"/>
    <x v="1"/>
    <s v="Продажи"/>
    <s v="Ремонт ОС"/>
    <s v="Холодильное оборудование"/>
    <x v="1"/>
    <x v="17"/>
    <s v="Ремонт прочих ОС"/>
    <x v="65"/>
    <m/>
    <m/>
    <m/>
    <m/>
    <n v="15920"/>
    <n v="5920"/>
    <n v="5200"/>
    <n v="13100"/>
    <n v="11520"/>
    <n v="7680"/>
    <n v="4250"/>
    <m/>
    <m/>
    <m/>
    <n v="63590"/>
  </r>
  <r>
    <x v="0"/>
    <x v="0"/>
    <x v="1"/>
    <s v="Продажи"/>
    <s v="Ремонт ОС"/>
    <s v="Холодильное оборудование"/>
    <x v="1"/>
    <x v="17"/>
    <s v="Ремонт торговых ОС"/>
    <x v="66"/>
    <m/>
    <m/>
    <n v="18087"/>
    <n v="27530"/>
    <n v="156019"/>
    <n v="127959"/>
    <n v="93932"/>
    <n v="51001"/>
    <n v="36158"/>
    <n v="27265"/>
    <n v="29441"/>
    <n v="41498"/>
    <n v="36936"/>
    <n v="27185"/>
    <n v="673011"/>
  </r>
  <r>
    <x v="0"/>
    <x v="0"/>
    <x v="1"/>
    <s v="Продажи"/>
    <s v="Услуги связи"/>
    <s v="Холодильное оборудование"/>
    <x v="0"/>
    <x v="4"/>
    <s v="Услуги связи"/>
    <x v="13"/>
    <s v="Тютюнников Андрій Іванович"/>
    <m/>
    <n v="380"/>
    <n v="380"/>
    <n v="380"/>
    <n v="380"/>
    <n v="380"/>
    <n v="380"/>
    <n v="380"/>
    <n v="380"/>
    <n v="380"/>
    <n v="380"/>
    <n v="380"/>
    <n v="380"/>
    <n v="4560"/>
  </r>
  <r>
    <x v="0"/>
    <x v="1"/>
    <x v="2"/>
    <s v="Прочие расходы"/>
    <s v="Прочие расходы"/>
    <s v="Директор производства"/>
    <x v="0"/>
    <x v="18"/>
    <s v="Прочие расходы"/>
    <x v="67"/>
    <m/>
    <m/>
    <n v="64270.367419941031"/>
    <n v="20534.620088869884"/>
    <n v="214421.4293299306"/>
    <n v="806226.93194687692"/>
    <n v="979453.46328613348"/>
    <n v="987434.69169264822"/>
    <n v="472697.88335313217"/>
    <n v="703646.19140429597"/>
    <n v="153168.97270607942"/>
    <n v="95069.870132899596"/>
    <n v="90273.499969108685"/>
    <n v="73945.777249858191"/>
    <n v="4661143.6985797742"/>
  </r>
  <r>
    <x v="0"/>
    <x v="2"/>
    <x v="3"/>
    <s v="Себестоимость"/>
    <s v="Себестоимость"/>
    <s v="Директор производства"/>
    <x v="0"/>
    <x v="19"/>
    <s v="Себестоимость"/>
    <x v="68"/>
    <m/>
    <m/>
    <n v="0"/>
    <n v="0"/>
    <n v="0"/>
    <n v="0"/>
    <n v="0"/>
    <n v="0"/>
    <n v="0"/>
    <n v="0"/>
    <n v="0"/>
    <n v="0"/>
    <n v="0"/>
    <n v="0"/>
    <n v="0"/>
  </r>
  <r>
    <x v="0"/>
    <x v="2"/>
    <x v="4"/>
    <s v="Скидка"/>
    <s v="Скидка"/>
    <s v="Скидка"/>
    <x v="1"/>
    <x v="20"/>
    <s v="Скидка"/>
    <x v="69"/>
    <m/>
    <m/>
    <m/>
    <m/>
    <m/>
    <m/>
    <m/>
    <m/>
    <m/>
    <m/>
    <m/>
    <m/>
    <m/>
    <m/>
    <n v="48920226.591538996"/>
  </r>
  <r>
    <x v="0"/>
    <x v="0"/>
    <x v="5"/>
    <s v="Логистическая деятельность"/>
    <s v="Аренда"/>
    <s v="Львов"/>
    <x v="0"/>
    <x v="9"/>
    <s v="Аренда"/>
    <x v="34"/>
    <m/>
    <m/>
    <m/>
    <m/>
    <n v="5000"/>
    <n v="5000"/>
    <n v="5000"/>
    <n v="5000"/>
    <n v="5000"/>
    <n v="5000"/>
    <n v="5000"/>
    <n v="5000"/>
    <n v="5000"/>
    <n v="5000"/>
    <n v="50000"/>
  </r>
  <r>
    <x v="0"/>
    <x v="0"/>
    <x v="5"/>
    <s v="Логистическая деятельность"/>
    <s v="Аренда"/>
    <s v="Внешняя логистика"/>
    <x v="0"/>
    <x v="9"/>
    <s v="Аренда"/>
    <x v="70"/>
    <m/>
    <m/>
    <m/>
    <m/>
    <n v="595302.19105137256"/>
    <n v="932895.47775393527"/>
    <n v="1353333.5480383798"/>
    <n v="1238177.254779936"/>
    <n v="1044544.7304881085"/>
    <n v="616987.05714668252"/>
    <n v="211347.24268718724"/>
    <n v="191835.3005910464"/>
    <n v="196533.06251817083"/>
    <n v="190838.43023231201"/>
    <n v="6571794.2952871304"/>
  </r>
  <r>
    <x v="0"/>
    <x v="0"/>
    <x v="5"/>
    <s v="Логистическая деятельность"/>
    <s v="Зарплата"/>
    <s v="Внешняя логистика"/>
    <x v="0"/>
    <x v="0"/>
    <s v="Зарплата"/>
    <x v="0"/>
    <m/>
    <m/>
    <m/>
    <m/>
    <n v="42154"/>
    <n v="42154"/>
    <n v="42154"/>
    <n v="42154"/>
    <n v="42154"/>
    <n v="42154"/>
    <n v="42154"/>
    <n v="42154"/>
    <n v="42154"/>
    <n v="42154"/>
    <n v="421540"/>
  </r>
  <r>
    <x v="0"/>
    <x v="0"/>
    <x v="5"/>
    <s v="Логистическая деятельность"/>
    <s v="Командировочные расходы"/>
    <s v="Внешняя логистика"/>
    <x v="0"/>
    <x v="1"/>
    <s v="Командировочные расходы"/>
    <x v="1"/>
    <m/>
    <m/>
    <m/>
    <m/>
    <n v="1500"/>
    <n v="1500"/>
    <n v="1500"/>
    <n v="1500"/>
    <n v="1500"/>
    <n v="1500"/>
    <n v="1500"/>
    <n v="1500"/>
    <n v="1500"/>
    <n v="1500"/>
    <n v="15000"/>
  </r>
  <r>
    <x v="0"/>
    <x v="0"/>
    <x v="5"/>
    <s v="Логистическая деятельность"/>
    <s v="Расходы на канцтовары и обслуживание оргтехники"/>
    <s v="Внешняя логистика"/>
    <x v="0"/>
    <x v="6"/>
    <s v="Расходы на канцтовары и обслуживание оргтехники"/>
    <x v="17"/>
    <m/>
    <m/>
    <m/>
    <m/>
    <n v="400"/>
    <n v="800"/>
    <n v="1000"/>
    <n v="1000"/>
    <n v="1000"/>
    <n v="400"/>
    <n v="400"/>
    <n v="400"/>
    <n v="400"/>
    <n v="400"/>
    <n v="6200"/>
  </r>
  <r>
    <x v="0"/>
    <x v="2"/>
    <x v="5"/>
    <s v="Логистическая деятельность"/>
    <s v="Расходы на логистику"/>
    <s v="Внешняя логистика"/>
    <x v="0"/>
    <x v="12"/>
    <s v="Найм транспорта"/>
    <x v="36"/>
    <m/>
    <m/>
    <m/>
    <m/>
    <n v="646548.26256994857"/>
    <n v="829174.52040176291"/>
    <n v="1408309.779477319"/>
    <n v="1606264.3419050809"/>
    <n v="1316067.3562339195"/>
    <n v="1025400.6404069414"/>
    <n v="607525.27302269044"/>
    <n v="570282.45246844832"/>
    <n v="570149.8295519253"/>
    <n v="597713.29808055284"/>
    <n v="9177435.7541185897"/>
  </r>
  <r>
    <x v="0"/>
    <x v="0"/>
    <x v="5"/>
    <s v="Логистическая деятельность"/>
    <s v="Расходы на налоги"/>
    <s v="Внешняя логистика"/>
    <x v="0"/>
    <x v="3"/>
    <s v="Расходы на налоги"/>
    <x v="12"/>
    <m/>
    <m/>
    <m/>
    <m/>
    <n v="5728.69"/>
    <n v="6240.66"/>
    <n v="6240.66"/>
    <n v="6240.66"/>
    <n v="6240.66"/>
    <n v="6240.66"/>
    <n v="5216.7299999999996"/>
    <n v="5216.7299999999996"/>
    <n v="5216.7299999999996"/>
    <n v="5216.7299999999996"/>
    <n v="57798.909999999989"/>
  </r>
  <r>
    <x v="0"/>
    <x v="0"/>
    <x v="5"/>
    <s v="Логистическая деятельность"/>
    <s v="Расходы на услуги вет. службы"/>
    <s v="Внешняя логистика"/>
    <x v="0"/>
    <x v="21"/>
    <s v="Расходы на услуги вет. службы"/>
    <x v="71"/>
    <m/>
    <m/>
    <m/>
    <m/>
    <n v="15000"/>
    <n v="15000"/>
    <n v="15000"/>
    <n v="15000"/>
    <n v="15000"/>
    <n v="15000"/>
    <n v="15000"/>
    <n v="15000"/>
    <n v="15000"/>
    <n v="15000"/>
    <n v="150000"/>
  </r>
  <r>
    <x v="0"/>
    <x v="0"/>
    <x v="5"/>
    <s v="Логистическая деятельность"/>
    <s v="Расходы на услуги сторонних организаций"/>
    <s v="Внешняя логистика"/>
    <x v="0"/>
    <x v="8"/>
    <s v="Расходы на услуги сторонних организаций"/>
    <x v="47"/>
    <m/>
    <m/>
    <m/>
    <m/>
    <n v="7000"/>
    <n v="7000"/>
    <n v="7000"/>
    <n v="7000"/>
    <n v="7000"/>
    <n v="7000"/>
    <n v="7000"/>
    <n v="7000"/>
    <n v="7000"/>
    <n v="7000"/>
    <n v="7000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Колишко Катерина Юріївна"/>
    <m/>
    <m/>
    <m/>
    <n v="165"/>
    <n v="165"/>
    <n v="165"/>
    <n v="165"/>
    <n v="165"/>
    <n v="165"/>
    <n v="165"/>
    <n v="165"/>
    <n v="165"/>
    <n v="165"/>
    <n v="165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Крюков   Борис Олександрович"/>
    <m/>
    <m/>
    <m/>
    <n v="165"/>
    <n v="165"/>
    <n v="165"/>
    <n v="165"/>
    <n v="165"/>
    <n v="165"/>
    <n v="165"/>
    <n v="165"/>
    <n v="165"/>
    <n v="165"/>
    <n v="165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Лєбєдєва Яна Олександрівна"/>
    <m/>
    <m/>
    <m/>
    <n v="61"/>
    <n v="61"/>
    <n v="61"/>
    <n v="61"/>
    <n v="61"/>
    <n v="61"/>
    <n v="61"/>
    <n v="61"/>
    <n v="61"/>
    <n v="61"/>
    <n v="61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Рожко Ігор Васильович"/>
    <m/>
    <m/>
    <m/>
    <n v="165"/>
    <n v="165"/>
    <n v="165"/>
    <n v="165"/>
    <n v="165"/>
    <n v="165"/>
    <n v="165"/>
    <n v="165"/>
    <n v="165"/>
    <n v="165"/>
    <n v="165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Силенок Інга Юріївна"/>
    <m/>
    <m/>
    <m/>
    <n v="61"/>
    <n v="61"/>
    <n v="61"/>
    <n v="61"/>
    <n v="61"/>
    <n v="61"/>
    <n v="61"/>
    <n v="61"/>
    <n v="61"/>
    <n v="61"/>
    <n v="61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Ярова Лариса Андріївна"/>
    <m/>
    <m/>
    <m/>
    <n v="490"/>
    <n v="551"/>
    <n v="551"/>
    <n v="551"/>
    <n v="551"/>
    <n v="551"/>
    <n v="490"/>
    <n v="490"/>
    <n v="490"/>
    <n v="490"/>
    <n v="5205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s v="Ярошенко Тетяна  Анатоліївна"/>
    <m/>
    <m/>
    <m/>
    <n v="61"/>
    <n v="61"/>
    <n v="61"/>
    <n v="61"/>
    <n v="61"/>
    <n v="61"/>
    <n v="61"/>
    <n v="61"/>
    <n v="61"/>
    <n v="61"/>
    <n v="610"/>
  </r>
  <r>
    <x v="0"/>
    <x v="0"/>
    <x v="5"/>
    <s v="Логистическая деятельность"/>
    <s v="Услуги связи"/>
    <s v="Внешняя логистика"/>
    <x v="0"/>
    <x v="4"/>
    <s v="Услуги связи"/>
    <x v="13"/>
    <m/>
    <m/>
    <m/>
    <m/>
    <n v="165"/>
    <n v="165"/>
    <n v="226"/>
    <n v="226"/>
    <n v="226"/>
    <n v="226"/>
    <n v="165"/>
    <n v="165"/>
    <n v="165"/>
    <n v="165"/>
    <n v="1894"/>
  </r>
  <r>
    <x v="0"/>
    <x v="0"/>
    <x v="5"/>
    <s v="Логистическая деятельность"/>
    <s v="Зарплата"/>
    <s v="Директор по логистике"/>
    <x v="0"/>
    <x v="0"/>
    <s v="Зарплата"/>
    <x v="0"/>
    <m/>
    <m/>
    <m/>
    <m/>
    <n v="19642"/>
    <n v="19642"/>
    <n v="19642"/>
    <n v="19642"/>
    <n v="19642"/>
    <n v="19642"/>
    <n v="19642"/>
    <n v="19642"/>
    <n v="19642"/>
    <n v="19642"/>
    <n v="196420"/>
  </r>
  <r>
    <x v="0"/>
    <x v="0"/>
    <x v="5"/>
    <s v="Логистическая деятельность"/>
    <s v="Командировочные расходы"/>
    <s v="Директор по логистике"/>
    <x v="0"/>
    <x v="1"/>
    <s v="Командировочные расходы"/>
    <x v="1"/>
    <m/>
    <m/>
    <m/>
    <m/>
    <n v="1500"/>
    <n v="1500"/>
    <n v="1500"/>
    <n v="1500"/>
    <n v="1500"/>
    <n v="1500"/>
    <n v="1500"/>
    <n v="1500"/>
    <n v="1500"/>
    <n v="1500"/>
    <n v="15000"/>
  </r>
  <r>
    <x v="0"/>
    <x v="0"/>
    <x v="5"/>
    <s v="Логистическая деятельность"/>
    <s v="Расходы на налоги"/>
    <s v="Директор по логистике"/>
    <x v="0"/>
    <x v="3"/>
    <s v="Расходы на налоги"/>
    <x v="12"/>
    <m/>
    <m/>
    <m/>
    <m/>
    <n v="892.32"/>
    <n v="892.32"/>
    <n v="892.32"/>
    <n v="892.32"/>
    <n v="892.32"/>
    <n v="892.32"/>
    <n v="892.32"/>
    <n v="892.32"/>
    <n v="892.32"/>
    <n v="892.32"/>
    <n v="8923.1999999999989"/>
  </r>
  <r>
    <x v="0"/>
    <x v="0"/>
    <x v="5"/>
    <s v="Логистическая деятельность"/>
    <s v="Услуги связи"/>
    <s v="Директор по логистике"/>
    <x v="0"/>
    <x v="4"/>
    <s v="Услуги связи"/>
    <x v="13"/>
    <m/>
    <m/>
    <m/>
    <m/>
    <n v="490"/>
    <n v="490"/>
    <n v="490"/>
    <n v="490"/>
    <n v="490"/>
    <n v="490"/>
    <n v="490"/>
    <n v="490"/>
    <n v="490"/>
    <n v="490"/>
    <n v="4900"/>
  </r>
  <r>
    <x v="0"/>
    <x v="0"/>
    <x v="5"/>
    <s v="Логистическая деятельность"/>
    <s v="Аренда"/>
    <s v="Львов"/>
    <x v="0"/>
    <x v="9"/>
    <s v="Аренда"/>
    <x v="28"/>
    <m/>
    <m/>
    <m/>
    <m/>
    <n v="1300"/>
    <n v="1300"/>
    <n v="1500"/>
    <n v="1500"/>
    <n v="1500"/>
    <n v="1500"/>
    <n v="1300"/>
    <n v="1300"/>
    <n v="1300"/>
    <n v="1300"/>
    <n v="13800"/>
  </r>
  <r>
    <x v="0"/>
    <x v="0"/>
    <x v="5"/>
    <s v="Логистическая деятельность"/>
    <s v="Аренда"/>
    <s v="Львов"/>
    <x v="0"/>
    <x v="9"/>
    <s v="Аренда"/>
    <x v="70"/>
    <m/>
    <m/>
    <m/>
    <m/>
    <n v="20000"/>
    <n v="20000"/>
    <n v="20000"/>
    <n v="20000"/>
    <n v="20000"/>
    <n v="20000"/>
    <n v="20000"/>
    <n v="20000"/>
    <n v="20000"/>
    <n v="20000"/>
    <n v="200000"/>
  </r>
  <r>
    <x v="0"/>
    <x v="0"/>
    <x v="5"/>
    <s v="Логистическая деятельность"/>
    <s v="Зарплата"/>
    <s v="Львов"/>
    <x v="0"/>
    <x v="0"/>
    <s v="Зарплата"/>
    <x v="0"/>
    <m/>
    <m/>
    <m/>
    <m/>
    <n v="38072"/>
    <n v="38072"/>
    <n v="38072"/>
    <n v="38072"/>
    <n v="38072"/>
    <n v="38072"/>
    <n v="38072"/>
    <n v="38072"/>
    <n v="38072"/>
    <n v="38072"/>
    <n v="380720"/>
  </r>
  <r>
    <x v="0"/>
    <x v="0"/>
    <x v="5"/>
    <s v="Логистическая деятельность"/>
    <s v="Командировочные расходы"/>
    <s v="Львов"/>
    <x v="0"/>
    <x v="1"/>
    <s v="Командировочные расходы"/>
    <x v="1"/>
    <m/>
    <m/>
    <m/>
    <m/>
    <n v="5600"/>
    <n v="5600"/>
    <n v="5600"/>
    <n v="5600"/>
    <n v="5600"/>
    <n v="5600"/>
    <n v="5600"/>
    <n v="5600"/>
    <n v="5600"/>
    <n v="5600"/>
    <n v="56000"/>
  </r>
  <r>
    <x v="0"/>
    <x v="0"/>
    <x v="5"/>
    <s v="Логистическая деятельность"/>
    <s v="Расходы на канцтовары и обслуживание оргтехники"/>
    <s v="Львов"/>
    <x v="0"/>
    <x v="6"/>
    <s v="Расходы на канцтовары и обслуживание оргтехники"/>
    <x v="17"/>
    <m/>
    <m/>
    <m/>
    <m/>
    <n v="700"/>
    <n v="700"/>
    <n v="1000"/>
    <n v="1000"/>
    <n v="1000"/>
    <n v="1000"/>
    <n v="700"/>
    <n v="700"/>
    <n v="700"/>
    <n v="700"/>
    <n v="8200"/>
  </r>
  <r>
    <x v="0"/>
    <x v="0"/>
    <x v="5"/>
    <s v="Логистическая деятельность"/>
    <s v="Расходы на канцтовары и обслуживание оргтехники"/>
    <s v="Львов"/>
    <x v="0"/>
    <x v="6"/>
    <s v="Расходы на канцтовары и обслуживание оргтехники"/>
    <x v="38"/>
    <m/>
    <m/>
    <m/>
    <m/>
    <n v="606"/>
    <n v="306"/>
    <n v="766"/>
    <n v="606"/>
    <n v="606"/>
    <n v="766"/>
    <n v="204"/>
    <n v="313"/>
    <n v="204"/>
    <n v="204"/>
    <n v="4581"/>
  </r>
  <r>
    <x v="0"/>
    <x v="2"/>
    <x v="5"/>
    <s v="Логистическая деятельность"/>
    <s v="Расходы на логистику"/>
    <s v="Львов"/>
    <x v="0"/>
    <x v="12"/>
    <s v="Найм транспорта"/>
    <x v="36"/>
    <m/>
    <m/>
    <m/>
    <m/>
    <m/>
    <n v="25000"/>
    <n v="50000"/>
    <n v="50000"/>
    <n v="50000"/>
    <n v="25000"/>
    <m/>
    <m/>
    <m/>
    <m/>
    <n v="200000"/>
  </r>
  <r>
    <x v="0"/>
    <x v="2"/>
    <x v="5"/>
    <s v="Логистическая деятельность"/>
    <s v="Расходы на логистику"/>
    <s v="Львов"/>
    <x v="0"/>
    <x v="12"/>
    <s v="Расходы на ГСМ транспорта"/>
    <x v="72"/>
    <m/>
    <m/>
    <m/>
    <m/>
    <n v="40000"/>
    <n v="45000"/>
    <n v="50000"/>
    <n v="50000"/>
    <n v="55000"/>
    <n v="55000"/>
    <n v="45000"/>
    <n v="40000"/>
    <n v="40000"/>
    <n v="40000"/>
    <n v="460000"/>
  </r>
  <r>
    <x v="0"/>
    <x v="0"/>
    <x v="5"/>
    <s v="Логистическая деятельность"/>
    <s v="Расходы на налоги"/>
    <s v="Львов"/>
    <x v="0"/>
    <x v="3"/>
    <s v="Расходы на налоги"/>
    <x v="12"/>
    <m/>
    <m/>
    <m/>
    <m/>
    <n v="6624.36"/>
    <n v="7290.63"/>
    <n v="7290.63"/>
    <n v="7290.63"/>
    <n v="7290.63"/>
    <n v="7290.63"/>
    <n v="7290.63"/>
    <n v="7290.63"/>
    <n v="7290.63"/>
    <n v="7290.63"/>
    <n v="72240.029999999984"/>
  </r>
  <r>
    <x v="0"/>
    <x v="0"/>
    <x v="5"/>
    <s v="Логистическая деятельность"/>
    <s v="Расходы на персонал"/>
    <s v="Львов"/>
    <x v="0"/>
    <x v="7"/>
    <s v="Расходы на персонал"/>
    <x v="29"/>
    <m/>
    <m/>
    <m/>
    <m/>
    <n v="800"/>
    <n v="800"/>
    <n v="800"/>
    <n v="800"/>
    <n v="800"/>
    <n v="800"/>
    <n v="800"/>
    <n v="800"/>
    <n v="800"/>
    <n v="800"/>
    <n v="8000"/>
  </r>
  <r>
    <x v="0"/>
    <x v="0"/>
    <x v="5"/>
    <s v="Логистическая деятельность"/>
    <s v="Расходы на содержание автопарка"/>
    <s v="Львов"/>
    <x v="0"/>
    <x v="10"/>
    <s v="Ремонт и ТО транспорта"/>
    <x v="30"/>
    <m/>
    <m/>
    <m/>
    <m/>
    <n v="10000"/>
    <n v="10000"/>
    <n v="10000"/>
    <n v="10000"/>
    <n v="10000"/>
    <n v="10000"/>
    <n v="10000"/>
    <n v="10000"/>
    <n v="10000"/>
    <n v="10000"/>
    <n v="100000"/>
  </r>
  <r>
    <x v="0"/>
    <x v="2"/>
    <x v="5"/>
    <s v="Логистическая деятельность"/>
    <s v="Расходы на списание"/>
    <s v="Львов"/>
    <x v="0"/>
    <x v="22"/>
    <s v="Расходы на списание"/>
    <x v="73"/>
    <m/>
    <m/>
    <m/>
    <m/>
    <m/>
    <m/>
    <m/>
    <m/>
    <m/>
    <m/>
    <m/>
    <m/>
    <m/>
    <m/>
    <n v="0"/>
  </r>
  <r>
    <x v="0"/>
    <x v="0"/>
    <x v="5"/>
    <s v="Логистическая деятельность"/>
    <s v="Расходы на услуги вет. службы"/>
    <s v="Львов"/>
    <x v="0"/>
    <x v="21"/>
    <s v="Расходы на услуги вет. службы"/>
    <x v="71"/>
    <m/>
    <m/>
    <m/>
    <m/>
    <n v="1400"/>
    <n v="1400"/>
    <n v="2100"/>
    <n v="1400"/>
    <n v="2100"/>
    <n v="1400"/>
    <n v="1400"/>
    <n v="2100"/>
    <n v="1400"/>
    <n v="1400"/>
    <n v="16100"/>
  </r>
  <r>
    <x v="0"/>
    <x v="0"/>
    <x v="5"/>
    <s v="Логистическая деятельность"/>
    <s v="Расходы на услуги сторонних организаций"/>
    <s v="Львов"/>
    <x v="0"/>
    <x v="8"/>
    <s v="Расходы на услуги сторонних организаций"/>
    <x v="47"/>
    <m/>
    <m/>
    <m/>
    <m/>
    <n v="600"/>
    <n v="600"/>
    <n v="600"/>
    <n v="600"/>
    <n v="600"/>
    <n v="600"/>
    <n v="600"/>
    <n v="600"/>
    <n v="600"/>
    <n v="600"/>
    <n v="6000"/>
  </r>
  <r>
    <x v="0"/>
    <x v="0"/>
    <x v="5"/>
    <s v="Логистическая деятельность"/>
    <s v="Расходы на услуги сторонних организаций"/>
    <s v="Львов"/>
    <x v="0"/>
    <x v="8"/>
    <s v="Расходы на услуги сторонних организаций"/>
    <x v="32"/>
    <m/>
    <m/>
    <m/>
    <m/>
    <n v="150"/>
    <n v="150"/>
    <n v="150"/>
    <n v="150"/>
    <n v="150"/>
    <n v="150"/>
    <n v="150"/>
    <n v="150"/>
    <n v="150"/>
    <n v="150"/>
    <n v="1500"/>
  </r>
  <r>
    <x v="0"/>
    <x v="0"/>
    <x v="5"/>
    <s v="Логистическая деятельность"/>
    <s v="Услуги связи"/>
    <s v="Львов"/>
    <x v="0"/>
    <x v="4"/>
    <s v="Услуги связи"/>
    <x v="33"/>
    <m/>
    <m/>
    <m/>
    <m/>
    <n v="400"/>
    <n v="400"/>
    <n v="400"/>
    <n v="400"/>
    <n v="400"/>
    <n v="400"/>
    <n v="400"/>
    <n v="400"/>
    <n v="400"/>
    <n v="400"/>
    <n v="4000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Іванов Євгеній Олександрович"/>
    <m/>
    <m/>
    <m/>
    <n v="11"/>
    <n v="11"/>
    <n v="11"/>
    <n v="11"/>
    <n v="11"/>
    <n v="11"/>
    <n v="11"/>
    <n v="11"/>
    <n v="11"/>
    <n v="11"/>
    <n v="110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Куриляк Іван Володимирович"/>
    <m/>
    <m/>
    <m/>
    <n v="11"/>
    <n v="11"/>
    <n v="11"/>
    <n v="11"/>
    <n v="11"/>
    <n v="11"/>
    <n v="11"/>
    <n v="11"/>
    <n v="11"/>
    <n v="11"/>
    <n v="110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Куриляк Михайло Володимирович"/>
    <m/>
    <m/>
    <m/>
    <n v="176"/>
    <n v="176"/>
    <n v="176"/>
    <n v="176"/>
    <n v="176"/>
    <n v="176"/>
    <n v="176"/>
    <n v="165"/>
    <n v="176"/>
    <n v="176"/>
    <n v="1749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Продивус Зіновій Іванович"/>
    <m/>
    <m/>
    <m/>
    <n v="11"/>
    <n v="11"/>
    <n v="11"/>
    <n v="11"/>
    <n v="11"/>
    <n v="11"/>
    <n v="11"/>
    <n v="11"/>
    <n v="11"/>
    <n v="11"/>
    <n v="110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Сало Богдан Іванович"/>
    <m/>
    <m/>
    <m/>
    <n v="61"/>
    <n v="61"/>
    <n v="61"/>
    <n v="61"/>
    <n v="61"/>
    <n v="61"/>
    <n v="61"/>
    <n v="61"/>
    <n v="61"/>
    <n v="61"/>
    <n v="610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Скиба Павло Ярославович"/>
    <m/>
    <m/>
    <m/>
    <m/>
    <m/>
    <m/>
    <m/>
    <m/>
    <m/>
    <m/>
    <n v="11"/>
    <m/>
    <m/>
    <n v="11"/>
  </r>
  <r>
    <x v="0"/>
    <x v="0"/>
    <x v="5"/>
    <s v="Логистическая деятельность"/>
    <s v="Услуги связи"/>
    <s v="Львов"/>
    <x v="0"/>
    <x v="4"/>
    <s v="Услуги связи"/>
    <x v="13"/>
    <s v="Цап'як Сергій Володимирович"/>
    <m/>
    <m/>
    <m/>
    <n v="11"/>
    <n v="11"/>
    <n v="11"/>
    <n v="11"/>
    <n v="11"/>
    <n v="11"/>
    <n v="11"/>
    <n v="11"/>
    <n v="11"/>
    <n v="11"/>
    <n v="110"/>
  </r>
  <r>
    <x v="0"/>
    <x v="0"/>
    <x v="5"/>
    <s v="Логистическая деятельность"/>
    <s v="Зарплата"/>
    <s v="Складская логистика"/>
    <x v="0"/>
    <x v="0"/>
    <s v="Зарплата"/>
    <x v="0"/>
    <m/>
    <m/>
    <m/>
    <m/>
    <n v="137245"/>
    <n v="139405"/>
    <n v="139405"/>
    <n v="139405"/>
    <n v="139405"/>
    <n v="139405"/>
    <n v="122529"/>
    <n v="102376"/>
    <n v="102376"/>
    <n v="102376"/>
    <n v="1263927"/>
  </r>
  <r>
    <x v="0"/>
    <x v="0"/>
    <x v="5"/>
    <s v="Логистическая деятельность"/>
    <s v="Командировочные расходы"/>
    <s v="Складская логистика"/>
    <x v="0"/>
    <x v="1"/>
    <s v="Командировочные расходы"/>
    <x v="1"/>
    <m/>
    <m/>
    <m/>
    <m/>
    <m/>
    <m/>
    <m/>
    <m/>
    <m/>
    <m/>
    <m/>
    <m/>
    <m/>
    <m/>
    <n v="0"/>
  </r>
  <r>
    <x v="0"/>
    <x v="0"/>
    <x v="5"/>
    <s v="Логистическая деятельность"/>
    <s v="Расходы на канцтовары и обслуживание оргтехники"/>
    <s v="Складская логистика"/>
    <x v="0"/>
    <x v="6"/>
    <s v="Расходы на канцтовары и обслуживание оргтехники"/>
    <x v="17"/>
    <m/>
    <m/>
    <m/>
    <m/>
    <n v="1200"/>
    <n v="1500"/>
    <n v="1500"/>
    <n v="1500"/>
    <n v="1500"/>
    <n v="1200"/>
    <n v="1200"/>
    <n v="1200"/>
    <n v="1200"/>
    <n v="1200"/>
    <n v="13200"/>
  </r>
  <r>
    <x v="0"/>
    <x v="2"/>
    <x v="5"/>
    <s v="Логистическая деятельность"/>
    <s v="Расходы на логистику"/>
    <s v="Складская логистика"/>
    <x v="0"/>
    <x v="12"/>
    <s v="Найм транспорта"/>
    <x v="36"/>
    <m/>
    <m/>
    <m/>
    <m/>
    <n v="998588.58437178982"/>
    <n v="1111326.460110592"/>
    <n v="2044637.4775954355"/>
    <n v="2186442.998038406"/>
    <n v="2038553.6120077542"/>
    <n v="1400991.3084410129"/>
    <n v="476023.3668971865"/>
    <n v="378191.29638112203"/>
    <n v="353320.23640256346"/>
    <n v="378564.15704506222"/>
    <n v="11366639.497290924"/>
  </r>
  <r>
    <x v="0"/>
    <x v="2"/>
    <x v="5"/>
    <s v="Логистическая деятельность"/>
    <s v="Расходы на логистику"/>
    <s v="Складская логистика"/>
    <x v="0"/>
    <x v="12"/>
    <s v="Найм транспорта"/>
    <x v="74"/>
    <m/>
    <m/>
    <m/>
    <m/>
    <n v="85000"/>
    <n v="85000"/>
    <n v="85000"/>
    <n v="85000"/>
    <n v="45000"/>
    <n v="45000"/>
    <n v="45000"/>
    <n v="40000"/>
    <n v="40000"/>
    <n v="40000"/>
    <n v="595000"/>
  </r>
  <r>
    <x v="0"/>
    <x v="2"/>
    <x v="5"/>
    <s v="Логистическая деятельность"/>
    <s v="Расходы на логистику"/>
    <s v="Складская логистика"/>
    <x v="0"/>
    <x v="12"/>
    <s v="Расходы на транспортировку"/>
    <x v="75"/>
    <m/>
    <m/>
    <m/>
    <m/>
    <m/>
    <m/>
    <m/>
    <m/>
    <m/>
    <m/>
    <m/>
    <m/>
    <m/>
    <m/>
    <m/>
  </r>
  <r>
    <x v="0"/>
    <x v="0"/>
    <x v="5"/>
    <s v="Логистическая деятельность"/>
    <s v="Расходы на налоги"/>
    <s v="Складская логистика"/>
    <x v="0"/>
    <x v="3"/>
    <s v="Расходы на налоги"/>
    <x v="12"/>
    <m/>
    <m/>
    <m/>
    <m/>
    <n v="35298.69"/>
    <n v="35790.58"/>
    <n v="35790.58"/>
    <n v="35790.58"/>
    <n v="35790.58"/>
    <n v="35790.58"/>
    <n v="31390.33"/>
    <n v="25835.64"/>
    <n v="25835.64"/>
    <n v="25835.64"/>
    <n v="323148.84000000008"/>
  </r>
  <r>
    <x v="0"/>
    <x v="0"/>
    <x v="5"/>
    <s v="Логистическая деятельность"/>
    <s v="Расходы на персонал"/>
    <s v="Складская логистика"/>
    <x v="0"/>
    <x v="7"/>
    <s v="Расходы на персонал"/>
    <x v="45"/>
    <m/>
    <m/>
    <m/>
    <m/>
    <m/>
    <m/>
    <m/>
    <m/>
    <m/>
    <m/>
    <m/>
    <n v="1400"/>
    <m/>
    <m/>
    <n v="1400"/>
  </r>
  <r>
    <x v="0"/>
    <x v="0"/>
    <x v="5"/>
    <s v="Логистическая деятельность"/>
    <s v="Расходы на персонал"/>
    <s v="Складская логистика"/>
    <x v="0"/>
    <x v="7"/>
    <s v="Расходы на персонал"/>
    <x v="76"/>
    <m/>
    <m/>
    <m/>
    <m/>
    <m/>
    <m/>
    <m/>
    <m/>
    <m/>
    <n v="7400"/>
    <m/>
    <m/>
    <m/>
    <m/>
    <n v="7400"/>
  </r>
  <r>
    <x v="0"/>
    <x v="2"/>
    <x v="5"/>
    <s v="Логистическая деятельность"/>
    <s v="Расходы на списание"/>
    <s v="Складская логистика"/>
    <x v="0"/>
    <x v="22"/>
    <s v="Расходы на списание"/>
    <x v="73"/>
    <m/>
    <m/>
    <m/>
    <m/>
    <m/>
    <m/>
    <m/>
    <m/>
    <m/>
    <m/>
    <m/>
    <m/>
    <m/>
    <m/>
    <n v="0"/>
  </r>
  <r>
    <x v="0"/>
    <x v="2"/>
    <x v="5"/>
    <s v="Логистическая деятельность"/>
    <s v="Расходы на списание"/>
    <s v="Складская логистика"/>
    <x v="0"/>
    <x v="22"/>
    <s v="Расходы на списание"/>
    <x v="77"/>
    <m/>
    <m/>
    <m/>
    <m/>
    <m/>
    <m/>
    <m/>
    <m/>
    <m/>
    <m/>
    <m/>
    <m/>
    <m/>
    <m/>
    <n v="0"/>
  </r>
  <r>
    <x v="0"/>
    <x v="0"/>
    <x v="5"/>
    <s v="Логистическая деятельность"/>
    <s v="Расходы на услуги сторонних организаций"/>
    <s v="Складская логистика"/>
    <x v="0"/>
    <x v="8"/>
    <s v="Расходы на услуги сторонних организаций"/>
    <x v="32"/>
    <m/>
    <m/>
    <m/>
    <m/>
    <n v="4550"/>
    <n v="3500"/>
    <n v="3500"/>
    <n v="3500"/>
    <n v="3500"/>
    <n v="3500"/>
    <n v="4550"/>
    <n v="4550"/>
    <n v="4550"/>
    <n v="4550"/>
    <n v="40250"/>
  </r>
  <r>
    <x v="0"/>
    <x v="0"/>
    <x v="5"/>
    <s v="Логистическая деятельность"/>
    <s v="Зарплата"/>
    <s v="Транспортная логистика"/>
    <x v="0"/>
    <x v="0"/>
    <s v="Зарплата"/>
    <x v="0"/>
    <m/>
    <m/>
    <m/>
    <m/>
    <n v="52796"/>
    <n v="52796"/>
    <n v="56872"/>
    <n v="56872"/>
    <n v="56872"/>
    <n v="56872"/>
    <n v="49556"/>
    <n v="43494"/>
    <n v="43494"/>
    <n v="43494"/>
    <n v="513118"/>
  </r>
  <r>
    <x v="0"/>
    <x v="0"/>
    <x v="5"/>
    <s v="Логистическая деятельность"/>
    <s v="Расходы на логистику"/>
    <s v="Транспортная логистика"/>
    <x v="0"/>
    <x v="12"/>
    <s v="Расходы на ГСМ транспорта"/>
    <x v="78"/>
    <m/>
    <m/>
    <m/>
    <m/>
    <n v="98649.000000000015"/>
    <n v="100145.70000000001"/>
    <n v="106602.30000000002"/>
    <n v="99391.500000000015"/>
    <n v="102010.50000000001"/>
    <n v="94653.000000000015"/>
    <n v="98012.700000000012"/>
    <n v="92036.700000000012"/>
    <n v="76895.100000000006"/>
    <n v="76491.900000000009"/>
    <n v="944888.39999999991"/>
  </r>
  <r>
    <x v="0"/>
    <x v="0"/>
    <x v="5"/>
    <s v="Логистическая деятельность"/>
    <s v="Расходы на налоги"/>
    <s v="Транспортная логистика"/>
    <x v="0"/>
    <x v="3"/>
    <s v="Расходы на налоги"/>
    <x v="12"/>
    <m/>
    <m/>
    <m/>
    <m/>
    <n v="14412.46"/>
    <n v="14412.46"/>
    <n v="15853.55"/>
    <n v="15853.55"/>
    <n v="15853.55"/>
    <n v="15853.55"/>
    <n v="13536.49"/>
    <n v="11615.03"/>
    <n v="11615.03"/>
    <n v="11615.03"/>
    <n v="140620.70000000001"/>
  </r>
  <r>
    <x v="0"/>
    <x v="0"/>
    <x v="5"/>
    <s v="Логистическая деятельность"/>
    <s v="Расходы на персонал"/>
    <s v="Транспортная логистика"/>
    <x v="0"/>
    <x v="7"/>
    <s v="Расходы на персонал"/>
    <x v="45"/>
    <m/>
    <m/>
    <m/>
    <m/>
    <m/>
    <m/>
    <m/>
    <m/>
    <m/>
    <m/>
    <m/>
    <m/>
    <m/>
    <m/>
    <n v="0"/>
  </r>
  <r>
    <x v="0"/>
    <x v="0"/>
    <x v="5"/>
    <s v="Логистическая деятельность"/>
    <s v="Расходы на персонал"/>
    <s v="Транспортная логистика"/>
    <x v="0"/>
    <x v="7"/>
    <s v="Расходы на персонал"/>
    <x v="76"/>
    <m/>
    <m/>
    <m/>
    <m/>
    <n v="350"/>
    <n v="150"/>
    <n v="150"/>
    <n v="150"/>
    <n v="150"/>
    <n v="150"/>
    <n v="4500"/>
    <n v="150"/>
    <n v="150"/>
    <n v="150"/>
    <n v="6050"/>
  </r>
  <r>
    <x v="0"/>
    <x v="0"/>
    <x v="5"/>
    <s v="Логистическая деятельность"/>
    <s v="Расходы на содержание автопарка"/>
    <s v="Транспортная логистика"/>
    <x v="0"/>
    <x v="10"/>
    <s v="Расходы на содержание автопарка"/>
    <x v="79"/>
    <m/>
    <m/>
    <m/>
    <m/>
    <n v="2000"/>
    <m/>
    <n v="1100"/>
    <m/>
    <m/>
    <n v="600"/>
    <m/>
    <n v="1200"/>
    <n v="300"/>
    <m/>
    <n v="5200"/>
  </r>
  <r>
    <x v="0"/>
    <x v="0"/>
    <x v="5"/>
    <s v="Логистическая деятельность"/>
    <s v="Расходы на содержание автопарка"/>
    <s v="Транспортная логистика"/>
    <x v="0"/>
    <x v="10"/>
    <s v="Ремонт и ТО транспорта"/>
    <x v="30"/>
    <m/>
    <m/>
    <m/>
    <m/>
    <n v="20000"/>
    <n v="20000"/>
    <n v="20000"/>
    <n v="20000"/>
    <n v="20000"/>
    <n v="20000"/>
    <n v="20000"/>
    <n v="20000"/>
    <n v="20000"/>
    <n v="20000"/>
    <n v="200000"/>
  </r>
  <r>
    <x v="0"/>
    <x v="0"/>
    <x v="5"/>
    <s v="Логистическая деятельность"/>
    <s v="Расходы на содержание автопарка"/>
    <s v="Транспортная логистика"/>
    <x v="0"/>
    <x v="10"/>
    <s v="Ремонт и ТО транспорта"/>
    <x v="80"/>
    <m/>
    <m/>
    <m/>
    <m/>
    <m/>
    <m/>
    <m/>
    <m/>
    <m/>
    <m/>
    <m/>
    <m/>
    <m/>
    <m/>
    <n v="0"/>
  </r>
  <r>
    <x v="0"/>
    <x v="0"/>
    <x v="5"/>
    <s v="Логистическая деятельность"/>
    <s v="Расходы на услуги сторонних организаций"/>
    <s v="Транспортная логистика"/>
    <x v="0"/>
    <x v="8"/>
    <s v="Расходы на услуги сторонних организаций"/>
    <x v="47"/>
    <m/>
    <m/>
    <m/>
    <m/>
    <n v="2000"/>
    <m/>
    <m/>
    <m/>
    <m/>
    <m/>
    <m/>
    <m/>
    <m/>
    <m/>
    <n v="2000"/>
  </r>
  <r>
    <x v="0"/>
    <x v="0"/>
    <x v="5"/>
    <s v="Логистическая деятельность"/>
    <s v="Расходы на услуги сторонних организаций"/>
    <s v="Транспортная логистика"/>
    <x v="0"/>
    <x v="8"/>
    <s v="Расходы на услуги сторонних организаций"/>
    <x v="32"/>
    <m/>
    <m/>
    <m/>
    <m/>
    <n v="100"/>
    <n v="100"/>
    <n v="100"/>
    <n v="100"/>
    <n v="100"/>
    <n v="100"/>
    <n v="100"/>
    <n v="100"/>
    <n v="100"/>
    <n v="100"/>
    <n v="1000"/>
  </r>
  <r>
    <x v="0"/>
    <x v="0"/>
    <x v="5"/>
    <s v="Логистическая деятельность"/>
    <s v="Расходы на содержание автопарка"/>
    <s v="Львов"/>
    <x v="0"/>
    <x v="10"/>
    <s v="Расходы на содержание автопарка"/>
    <x v="79"/>
    <m/>
    <m/>
    <m/>
    <m/>
    <m/>
    <m/>
    <n v="7600"/>
    <m/>
    <m/>
    <m/>
    <m/>
    <m/>
    <m/>
    <m/>
    <n v="7600"/>
  </r>
  <r>
    <x v="0"/>
    <x v="0"/>
    <x v="1"/>
    <s v="Продажи"/>
    <s v="Аренда"/>
    <s v="Днепропетровск"/>
    <x v="2"/>
    <x v="9"/>
    <s v="Аренда"/>
    <x v="34"/>
    <m/>
    <m/>
    <n v="4557"/>
    <n v="4557"/>
    <n v="4557"/>
    <n v="4557"/>
    <n v="4557"/>
    <n v="4557"/>
    <n v="4557"/>
    <n v="4557"/>
    <n v="4557"/>
    <n v="4557"/>
    <n v="4557"/>
    <n v="4557"/>
    <n v="54684"/>
  </r>
  <r>
    <x v="0"/>
    <x v="0"/>
    <x v="1"/>
    <s v="Продажи"/>
    <s v="Аренда"/>
    <s v="Днепропетровск"/>
    <x v="2"/>
    <x v="9"/>
    <s v="Аренда"/>
    <x v="28"/>
    <m/>
    <m/>
    <n v="2365"/>
    <n v="2365"/>
    <n v="2365"/>
    <n v="2365"/>
    <n v="2365"/>
    <n v="2365"/>
    <n v="2365"/>
    <n v="2365"/>
    <n v="2365"/>
    <n v="2365"/>
    <n v="2365"/>
    <n v="2365"/>
    <n v="28380"/>
  </r>
  <r>
    <x v="0"/>
    <x v="0"/>
    <x v="1"/>
    <s v="Продажи"/>
    <s v="Зарплата"/>
    <s v="Днепропетровск"/>
    <x v="2"/>
    <x v="0"/>
    <s v="Зарплата"/>
    <x v="0"/>
    <m/>
    <m/>
    <n v="69500"/>
    <n v="69500"/>
    <n v="69500"/>
    <n v="72700"/>
    <n v="72700"/>
    <n v="72700"/>
    <n v="72700"/>
    <n v="72700"/>
    <n v="72700"/>
    <n v="72700"/>
    <n v="72700"/>
    <n v="72700"/>
    <n v="862800"/>
  </r>
  <r>
    <x v="0"/>
    <x v="0"/>
    <x v="1"/>
    <s v="Продажи"/>
    <s v="Командировочные расходы"/>
    <s v="Днепропетровск"/>
    <x v="2"/>
    <x v="1"/>
    <s v="Командировочные расходы"/>
    <x v="1"/>
    <s v="Савенко Ігор Геннадійович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канцтовары и обслуживание оргтехники"/>
    <s v="Днепропетровск"/>
    <x v="2"/>
    <x v="6"/>
    <s v="Расходы на канцтовары и обслуживание оргтехники"/>
    <x v="17"/>
    <m/>
    <m/>
    <n v="250"/>
    <n v="250"/>
    <n v="250"/>
    <n v="250"/>
    <n v="250"/>
    <n v="250"/>
    <n v="250"/>
    <n v="250"/>
    <n v="250"/>
    <n v="250"/>
    <n v="250"/>
    <n v="250"/>
    <n v="3000"/>
  </r>
  <r>
    <x v="0"/>
    <x v="0"/>
    <x v="1"/>
    <s v="Продажи"/>
    <s v="Расходы на канцтовары и обслуживание оргтехники"/>
    <s v="Днепропетровск"/>
    <x v="2"/>
    <x v="6"/>
    <s v="Расходы на канцтовары и обслуживание оргтехники"/>
    <x v="38"/>
    <m/>
    <m/>
    <n v="250"/>
    <n v="250"/>
    <n v="250"/>
    <n v="250"/>
    <n v="250"/>
    <n v="250"/>
    <n v="250"/>
    <n v="250"/>
    <n v="250"/>
    <n v="250"/>
    <n v="250"/>
    <n v="250"/>
    <n v="3000"/>
  </r>
  <r>
    <x v="0"/>
    <x v="0"/>
    <x v="1"/>
    <s v="Расходы на маркетинг"/>
    <s v="Расходы на создание новых продуктов"/>
    <s v="Днепропетровск"/>
    <x v="2"/>
    <x v="2"/>
    <s v="Расходы на создание новых продуктов"/>
    <x v="10"/>
    <m/>
    <m/>
    <m/>
    <m/>
    <m/>
    <m/>
    <m/>
    <m/>
    <m/>
    <m/>
    <m/>
    <m/>
    <m/>
    <m/>
    <n v="0"/>
  </r>
  <r>
    <x v="0"/>
    <x v="0"/>
    <x v="1"/>
    <s v="Продажи"/>
    <s v="Расходы на налоги"/>
    <s v="Днепропетровск"/>
    <x v="2"/>
    <x v="3"/>
    <s v="Расходы на налоги"/>
    <x v="12"/>
    <m/>
    <m/>
    <n v="8308.61"/>
    <n v="8308.61"/>
    <n v="8308.61"/>
    <n v="8820.58"/>
    <n v="8820.58"/>
    <n v="8820.58"/>
    <n v="8820.58"/>
    <n v="8820.58"/>
    <n v="8820.58"/>
    <n v="8820.58"/>
    <n v="8820.58"/>
    <n v="8820.58"/>
    <n v="104311.05000000002"/>
  </r>
  <r>
    <x v="0"/>
    <x v="0"/>
    <x v="1"/>
    <s v="Продажи"/>
    <s v="Расходы на персонал"/>
    <s v="Днепропетровск"/>
    <x v="2"/>
    <x v="7"/>
    <s v="Расходы на персонал"/>
    <x v="29"/>
    <s v="Савенко Ігор Геннадійович"/>
    <m/>
    <n v="1600"/>
    <n v="1600"/>
    <n v="1600"/>
    <n v="1600"/>
    <n v="1600"/>
    <n v="1600"/>
    <n v="1600"/>
    <n v="1600"/>
    <n v="1600"/>
    <n v="1600"/>
    <n v="1600"/>
    <n v="1600"/>
    <n v="192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Вусатенко Олександр Володимирович"/>
    <m/>
    <n v="415"/>
    <n v="415"/>
    <n v="415"/>
    <n v="415"/>
    <n v="415"/>
    <n v="415"/>
    <n v="415"/>
    <n v="415"/>
    <n v="415"/>
    <n v="415"/>
    <n v="415"/>
    <n v="415"/>
    <n v="498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Жижила Валентина Анатоліївна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Ітімєнєва Каріна Євгеніївна"/>
    <m/>
    <n v="810"/>
    <n v="810"/>
    <n v="810"/>
    <n v="810"/>
    <n v="810"/>
    <n v="810"/>
    <n v="810"/>
    <n v="810"/>
    <n v="810"/>
    <n v="810"/>
    <n v="810"/>
    <n v="810"/>
    <n v="972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Кірієнко Сергій Валерійович"/>
    <m/>
    <n v="455"/>
    <n v="455"/>
    <n v="455"/>
    <n v="455"/>
    <n v="455"/>
    <n v="455"/>
    <n v="455"/>
    <n v="455"/>
    <n v="455"/>
    <n v="455"/>
    <n v="455"/>
    <n v="455"/>
    <n v="546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Клименко Юлія Вікторі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Кондрашова Юлія Олександрівна"/>
    <m/>
    <n v="670"/>
    <n v="670"/>
    <n v="670"/>
    <n v="670"/>
    <n v="670"/>
    <n v="670"/>
    <n v="670"/>
    <n v="670"/>
    <n v="670"/>
    <n v="670"/>
    <n v="670"/>
    <n v="670"/>
    <n v="804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Лазнева Ірина Анатоліївна"/>
    <m/>
    <n v="350"/>
    <n v="350"/>
    <n v="350"/>
    <n v="350"/>
    <n v="350"/>
    <n v="350"/>
    <n v="350"/>
    <n v="350"/>
    <n v="350"/>
    <n v="350"/>
    <n v="350"/>
    <n v="350"/>
    <n v="42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Ліпська Юлія Володимирівна"/>
    <m/>
    <n v="615"/>
    <n v="615"/>
    <n v="615"/>
    <n v="615"/>
    <n v="615"/>
    <n v="615"/>
    <n v="615"/>
    <n v="615"/>
    <n v="615"/>
    <n v="615"/>
    <n v="615"/>
    <n v="615"/>
    <n v="738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Непомняща Вікторія Валеріївна"/>
    <m/>
    <n v="310"/>
    <n v="310"/>
    <n v="310"/>
    <n v="310"/>
    <n v="310"/>
    <n v="310"/>
    <n v="310"/>
    <n v="310"/>
    <n v="310"/>
    <n v="310"/>
    <n v="310"/>
    <n v="310"/>
    <n v="372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Пузерей Лілія Олегівна"/>
    <m/>
    <n v="550"/>
    <n v="550"/>
    <n v="550"/>
    <n v="550"/>
    <n v="550"/>
    <n v="550"/>
    <n v="550"/>
    <n v="550"/>
    <n v="550"/>
    <n v="550"/>
    <n v="550"/>
    <n v="550"/>
    <n v="66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Ророт Анастасія Вікторі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Савченко Кирило Геннадійович"/>
    <m/>
    <n v="460"/>
    <n v="460"/>
    <n v="460"/>
    <n v="460"/>
    <n v="460"/>
    <n v="460"/>
    <n v="460"/>
    <n v="460"/>
    <n v="460"/>
    <n v="460"/>
    <n v="460"/>
    <n v="460"/>
    <n v="552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Солонцова  Юлія Миколаї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Тарасова Тетяна Ігорівна"/>
    <m/>
    <n v="415"/>
    <n v="415"/>
    <n v="415"/>
    <n v="415"/>
    <n v="415"/>
    <n v="415"/>
    <n v="415"/>
    <n v="415"/>
    <n v="415"/>
    <n v="415"/>
    <n v="415"/>
    <n v="415"/>
    <n v="4980"/>
  </r>
  <r>
    <x v="0"/>
    <x v="0"/>
    <x v="1"/>
    <s v="Продажи"/>
    <s v="Расходы на персонал"/>
    <s v="Днепропетровск"/>
    <x v="2"/>
    <x v="7"/>
    <s v="Расходы на персонал"/>
    <x v="26"/>
    <s v="Укращонок Ганна Володимирівна"/>
    <m/>
    <n v="355"/>
    <n v="355"/>
    <n v="355"/>
    <n v="355"/>
    <n v="355"/>
    <n v="355"/>
    <n v="355"/>
    <n v="355"/>
    <n v="355"/>
    <n v="355"/>
    <n v="355"/>
    <n v="355"/>
    <n v="4260"/>
  </r>
  <r>
    <x v="0"/>
    <x v="2"/>
    <x v="1"/>
    <s v="Продажи"/>
    <s v="Расходы на списание"/>
    <s v="Днепропетровск"/>
    <x v="2"/>
    <x v="22"/>
    <s v="Расходы на списание"/>
    <x v="73"/>
    <m/>
    <m/>
    <n v="6000"/>
    <n v="8500"/>
    <n v="9000"/>
    <n v="18000"/>
    <n v="15000"/>
    <n v="15000"/>
    <n v="15000"/>
    <n v="13000"/>
    <n v="9000"/>
    <n v="15000"/>
    <n v="8000"/>
    <n v="8000"/>
    <n v="139500"/>
  </r>
  <r>
    <x v="0"/>
    <x v="0"/>
    <x v="1"/>
    <s v="Продажи"/>
    <s v="Расходы на услуги сторонних организаций"/>
    <s v="Днепропетровск"/>
    <x v="2"/>
    <x v="8"/>
    <s v="Расходы на услуги сторонних организаций"/>
    <x v="47"/>
    <m/>
    <m/>
    <n v="250"/>
    <n v="250"/>
    <n v="250"/>
    <n v="250"/>
    <n v="250"/>
    <n v="250"/>
    <n v="250"/>
    <n v="250"/>
    <n v="250"/>
    <n v="250"/>
    <n v="250"/>
    <n v="250"/>
    <n v="3000"/>
  </r>
  <r>
    <x v="0"/>
    <x v="0"/>
    <x v="1"/>
    <s v="Продажи"/>
    <s v="Расходы на услуги сторонних организаций"/>
    <s v="Днепропетровск"/>
    <x v="2"/>
    <x v="8"/>
    <s v="Расходы на услуги сторонних организаций"/>
    <x v="32"/>
    <m/>
    <m/>
    <n v="250"/>
    <n v="250"/>
    <n v="250"/>
    <n v="250"/>
    <n v="250"/>
    <n v="250"/>
    <n v="250"/>
    <n v="250"/>
    <n v="250"/>
    <n v="250"/>
    <n v="250"/>
    <n v="250"/>
    <n v="3000"/>
  </r>
  <r>
    <x v="0"/>
    <x v="0"/>
    <x v="1"/>
    <s v="Продажи"/>
    <s v="Услуги связи"/>
    <s v="Днепропетровск"/>
    <x v="2"/>
    <x v="4"/>
    <s v="Услуги связи"/>
    <x v="33"/>
    <m/>
    <m/>
    <n v="240"/>
    <n v="240"/>
    <n v="240"/>
    <n v="240"/>
    <n v="240"/>
    <n v="240"/>
    <n v="240"/>
    <n v="240"/>
    <n v="240"/>
    <n v="240"/>
    <n v="240"/>
    <n v="240"/>
    <n v="2880"/>
  </r>
  <r>
    <x v="0"/>
    <x v="0"/>
    <x v="1"/>
    <s v="Продажи"/>
    <s v="Услуги связи"/>
    <s v="Днепропетровск"/>
    <x v="2"/>
    <x v="4"/>
    <s v="Услуги связи"/>
    <x v="13"/>
    <s v="Вусатенко Олександр Володими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Жижила Валентина Анатолі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Ітімєнєва Каріна Євгенії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непропетровск"/>
    <x v="2"/>
    <x v="4"/>
    <s v="Услуги связи"/>
    <x v="13"/>
    <s v="Кірієнко Сергій Валер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Клименко Юлія Вікто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непропетровск"/>
    <x v="2"/>
    <x v="4"/>
    <s v="Услуги связи"/>
    <x v="13"/>
    <s v="Кондрашова Юлія Олександ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непропетровск"/>
    <x v="2"/>
    <x v="4"/>
    <s v="Услуги связи"/>
    <x v="13"/>
    <s v="Лазнева Ірина Анатолії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непропетровск"/>
    <x v="2"/>
    <x v="4"/>
    <s v="Услуги связи"/>
    <x v="13"/>
    <s v="Ліпська Юлія Володими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Непомняща Вікторія Валері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Пузерей Лілія Олег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Ророт Анастасія Вікто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Савенко Ігор Геннад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Днепропетровск"/>
    <x v="2"/>
    <x v="4"/>
    <s v="Услуги связи"/>
    <x v="13"/>
    <s v="Савченко Кирило Геннад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непропетровск"/>
    <x v="2"/>
    <x v="4"/>
    <s v="Услуги связи"/>
    <x v="13"/>
    <s v="Солонцова  Юлія Микола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Тарасова Тетяна Іго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s v="Укращонок Ганна Володими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непропетровск"/>
    <x v="2"/>
    <x v="4"/>
    <s v="Услуги связи"/>
    <x v="13"/>
    <m/>
    <m/>
    <m/>
    <m/>
    <m/>
    <n v="41"/>
    <n v="41"/>
    <n v="41"/>
    <n v="41"/>
    <n v="41"/>
    <n v="41"/>
    <n v="41"/>
    <n v="41"/>
    <n v="41"/>
    <n v="369"/>
  </r>
  <r>
    <x v="0"/>
    <x v="0"/>
    <x v="1"/>
    <s v="Продажи"/>
    <s v="Услуги связи"/>
    <s v="Днепропетровск"/>
    <x v="2"/>
    <x v="4"/>
    <s v="Услуги связи"/>
    <x v="39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Аренда"/>
    <s v="Донецк"/>
    <x v="2"/>
    <x v="9"/>
    <s v="Аренда"/>
    <x v="28"/>
    <m/>
    <m/>
    <n v="3500"/>
    <n v="3500"/>
    <n v="3500"/>
    <n v="3500"/>
    <n v="3500"/>
    <n v="3500"/>
    <n v="3500"/>
    <n v="3500"/>
    <n v="3500"/>
    <n v="3500"/>
    <n v="3500"/>
    <n v="3500"/>
    <n v="42000"/>
  </r>
  <r>
    <x v="0"/>
    <x v="0"/>
    <x v="1"/>
    <s v="Продажи"/>
    <s v="Зарплата"/>
    <s v="Донецк"/>
    <x v="2"/>
    <x v="0"/>
    <s v="Зарплата"/>
    <x v="0"/>
    <m/>
    <m/>
    <n v="54100"/>
    <n v="54100"/>
    <n v="54100"/>
    <n v="54100"/>
    <n v="60500"/>
    <n v="60500"/>
    <n v="60500"/>
    <n v="60500"/>
    <n v="60500"/>
    <n v="54100"/>
    <n v="54100"/>
    <n v="54100"/>
    <n v="681200"/>
  </r>
  <r>
    <x v="0"/>
    <x v="0"/>
    <x v="1"/>
    <s v="Продажи"/>
    <s v="Командировочные расходы"/>
    <s v="Донецк"/>
    <x v="2"/>
    <x v="1"/>
    <s v="Командировочные расходы"/>
    <x v="1"/>
    <s v="Журжа Анастасія Анатоліївна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Расходы на канцтовары и обслуживание оргтехники"/>
    <s v="Донецк"/>
    <x v="2"/>
    <x v="6"/>
    <s v="Расходы на канцтовары и обслуживание оргтехники"/>
    <x v="17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канцтовары и обслуживание оргтехники"/>
    <s v="Донецк"/>
    <x v="2"/>
    <x v="6"/>
    <s v="Расходы на канцтовары и обслуживание оргтехники"/>
    <x v="38"/>
    <m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налоги"/>
    <s v="Донецк"/>
    <x v="2"/>
    <x v="3"/>
    <s v="Расходы на налоги"/>
    <x v="12"/>
    <m/>
    <m/>
    <n v="6755.61"/>
    <n v="6755.61"/>
    <n v="6755.61"/>
    <n v="6755.61"/>
    <n v="7779.54"/>
    <n v="7779.54"/>
    <n v="7779.54"/>
    <n v="7779.54"/>
    <n v="7779.54"/>
    <n v="6755.61"/>
    <n v="6755.61"/>
    <n v="6755.61"/>
    <n v="86186.97"/>
  </r>
  <r>
    <x v="0"/>
    <x v="0"/>
    <x v="1"/>
    <s v="Продажи"/>
    <s v="Расходы на персонал"/>
    <s v="Донецк"/>
    <x v="2"/>
    <x v="7"/>
    <s v="Расходы на персонал"/>
    <x v="29"/>
    <s v="Журжа Анастасія Анатоліївна"/>
    <m/>
    <n v="1600"/>
    <n v="1600"/>
    <n v="1600"/>
    <n v="1600"/>
    <n v="1600"/>
    <n v="1600"/>
    <n v="1600"/>
    <n v="1600"/>
    <n v="1600"/>
    <n v="1600"/>
    <n v="1600"/>
    <n v="1600"/>
    <n v="19200"/>
  </r>
  <r>
    <x v="0"/>
    <x v="0"/>
    <x v="1"/>
    <s v="Продажи"/>
    <s v="Расходы на персонал"/>
    <s v="Донецк"/>
    <x v="2"/>
    <x v="7"/>
    <s v="Расходы на персонал"/>
    <x v="29"/>
    <s v="Цьомик Вадим Геннадійович"/>
    <m/>
    <n v="1400"/>
    <n v="1400"/>
    <n v="1400"/>
    <n v="1400"/>
    <n v="1400"/>
    <n v="1400"/>
    <n v="1400"/>
    <n v="1400"/>
    <n v="1400"/>
    <n v="1400"/>
    <n v="1400"/>
    <n v="1400"/>
    <n v="16800"/>
  </r>
  <r>
    <x v="0"/>
    <x v="0"/>
    <x v="1"/>
    <s v="Продажи"/>
    <s v="Расходы на персонал"/>
    <s v="Донецк"/>
    <x v="2"/>
    <x v="7"/>
    <s v="Расходы на персонал"/>
    <x v="26"/>
    <s v="Алексєєва Тетяна Сергіївна"/>
    <m/>
    <n v="566"/>
    <n v="566"/>
    <n v="566"/>
    <n v="566"/>
    <n v="566"/>
    <n v="566"/>
    <n v="566"/>
    <n v="566"/>
    <n v="566"/>
    <n v="566"/>
    <n v="566"/>
    <n v="566"/>
    <n v="6792"/>
  </r>
  <r>
    <x v="0"/>
    <x v="0"/>
    <x v="1"/>
    <s v="Продажи"/>
    <s v="Расходы на персонал"/>
    <s v="Донецк"/>
    <x v="2"/>
    <x v="7"/>
    <s v="Расходы на персонал"/>
    <x v="26"/>
    <s v="Гардецька Наталя Вікторівна"/>
    <m/>
    <n v="610"/>
    <n v="610"/>
    <n v="610"/>
    <n v="610"/>
    <n v="610"/>
    <n v="610"/>
    <n v="610"/>
    <n v="610"/>
    <n v="610"/>
    <n v="610"/>
    <n v="610"/>
    <n v="610"/>
    <n v="7320"/>
  </r>
  <r>
    <x v="0"/>
    <x v="0"/>
    <x v="1"/>
    <s v="Продажи"/>
    <s v="Расходы на персонал"/>
    <s v="Донецк"/>
    <x v="2"/>
    <x v="7"/>
    <s v="Расходы на персонал"/>
    <x v="26"/>
    <s v="Давиденко Владислав Валерій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Расходы на персонал"/>
    <s v="Донецк"/>
    <x v="2"/>
    <x v="7"/>
    <s v="Расходы на персонал"/>
    <x v="26"/>
    <s v="Додонова Марія Вікторівна"/>
    <m/>
    <n v="410"/>
    <n v="410"/>
    <n v="410"/>
    <n v="410"/>
    <n v="410"/>
    <n v="410"/>
    <n v="410"/>
    <n v="410"/>
    <n v="410"/>
    <n v="410"/>
    <n v="410"/>
    <n v="410"/>
    <n v="4920"/>
  </r>
  <r>
    <x v="0"/>
    <x v="0"/>
    <x v="1"/>
    <s v="Продажи"/>
    <s v="Расходы на персонал"/>
    <s v="Донецк"/>
    <x v="2"/>
    <x v="7"/>
    <s v="Расходы на персонал"/>
    <x v="26"/>
    <s v="Докукіна Ірина Володимирівна"/>
    <m/>
    <n v="706"/>
    <n v="706"/>
    <n v="706"/>
    <n v="706"/>
    <n v="706"/>
    <n v="706"/>
    <n v="706"/>
    <n v="706"/>
    <n v="706"/>
    <n v="706"/>
    <n v="706"/>
    <n v="706"/>
    <n v="8472"/>
  </r>
  <r>
    <x v="0"/>
    <x v="0"/>
    <x v="1"/>
    <s v="Продажи"/>
    <s v="Расходы на персонал"/>
    <s v="Донецк"/>
    <x v="2"/>
    <x v="7"/>
    <s v="Расходы на персонал"/>
    <x v="26"/>
    <s v="Зялік Михайло Володимирович"/>
    <m/>
    <n v="630"/>
    <n v="630"/>
    <n v="630"/>
    <n v="630"/>
    <n v="630"/>
    <n v="630"/>
    <n v="630"/>
    <n v="630"/>
    <n v="630"/>
    <n v="630"/>
    <n v="630"/>
    <n v="630"/>
    <n v="7560"/>
  </r>
  <r>
    <x v="0"/>
    <x v="0"/>
    <x v="1"/>
    <s v="Продажи"/>
    <s v="Расходы на персонал"/>
    <s v="Донецк"/>
    <x v="2"/>
    <x v="7"/>
    <s v="Расходы на персонал"/>
    <x v="26"/>
    <s v="Куліш Василь Валентинович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персонал"/>
    <s v="Донецк"/>
    <x v="2"/>
    <x v="7"/>
    <s v="Расходы на персонал"/>
    <x v="26"/>
    <s v="Латишев Олексій Володимирович"/>
    <m/>
    <m/>
    <m/>
    <m/>
    <m/>
    <n v="450"/>
    <n v="450"/>
    <n v="450"/>
    <n v="450"/>
    <n v="450"/>
    <m/>
    <m/>
    <m/>
    <n v="2250"/>
  </r>
  <r>
    <x v="0"/>
    <x v="0"/>
    <x v="1"/>
    <s v="Продажи"/>
    <s v="Расходы на персонал"/>
    <s v="Донецк"/>
    <x v="2"/>
    <x v="7"/>
    <s v="Расходы на персонал"/>
    <x v="26"/>
    <s v="Малуха Ганна Вікторівна"/>
    <m/>
    <m/>
    <m/>
    <m/>
    <m/>
    <n v="450"/>
    <n v="450"/>
    <n v="450"/>
    <n v="450"/>
    <n v="450"/>
    <m/>
    <m/>
    <m/>
    <n v="2250"/>
  </r>
  <r>
    <x v="0"/>
    <x v="0"/>
    <x v="1"/>
    <s v="Продажи"/>
    <s v="Расходы на персонал"/>
    <s v="Донецк"/>
    <x v="2"/>
    <x v="7"/>
    <s v="Расходы на персонал"/>
    <x v="26"/>
    <s v="Савченко Катерина Олександрівна"/>
    <m/>
    <n v="540"/>
    <n v="540"/>
    <n v="540"/>
    <n v="540"/>
    <n v="540"/>
    <n v="540"/>
    <n v="540"/>
    <n v="540"/>
    <n v="540"/>
    <n v="540"/>
    <n v="540"/>
    <n v="540"/>
    <n v="6480"/>
  </r>
  <r>
    <x v="0"/>
    <x v="0"/>
    <x v="1"/>
    <s v="Продажи"/>
    <s v="Расходы на персонал"/>
    <s v="Донецк"/>
    <x v="2"/>
    <x v="7"/>
    <s v="Расходы на персонал"/>
    <x v="26"/>
    <s v="Хрущов Денис Володими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Донецк"/>
    <x v="2"/>
    <x v="7"/>
    <s v="Расходы на персонал"/>
    <x v="26"/>
    <m/>
    <m/>
    <n v="1006"/>
    <n v="1006"/>
    <n v="1006"/>
    <n v="1006"/>
    <n v="1006"/>
    <n v="1006"/>
    <n v="1006"/>
    <n v="1006"/>
    <n v="1006"/>
    <n v="1006"/>
    <n v="1006"/>
    <n v="1006"/>
    <n v="12072"/>
  </r>
  <r>
    <x v="0"/>
    <x v="2"/>
    <x v="1"/>
    <s v="Продажи"/>
    <s v="Расходы на списание"/>
    <s v="Донецк"/>
    <x v="2"/>
    <x v="22"/>
    <s v="Расходы на списание"/>
    <x v="73"/>
    <m/>
    <m/>
    <n v="3650"/>
    <n v="3870"/>
    <n v="4980"/>
    <n v="14890"/>
    <n v="11730"/>
    <n v="13430"/>
    <n v="11330"/>
    <n v="9270"/>
    <n v="5390"/>
    <n v="4550"/>
    <n v="4220"/>
    <n v="4550"/>
    <n v="91860"/>
  </r>
  <r>
    <x v="0"/>
    <x v="0"/>
    <x v="1"/>
    <s v="Продажи"/>
    <s v="Расходы на услуги сторонних организаций"/>
    <s v="Донецк"/>
    <x v="2"/>
    <x v="8"/>
    <s v="Расходы на услуги сторонних организаций"/>
    <x v="32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1"/>
    <s v="Продажи"/>
    <s v="Услуги связи"/>
    <s v="Донецк"/>
    <x v="2"/>
    <x v="4"/>
    <s v="Услуги связи"/>
    <x v="13"/>
    <s v="Алексєєва Тетяна Сергі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Гардецька Наталя Вікто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Давиденко Владислав Валер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Додонова Марія Вікто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Докукіна Ірина Володими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Журжа Анастасія Анатоліївна"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Услуги связи"/>
    <s v="Донецк"/>
    <x v="2"/>
    <x v="4"/>
    <s v="Услуги связи"/>
    <x v="13"/>
    <s v="Зялік Михайло Володими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онецк"/>
    <x v="2"/>
    <x v="4"/>
    <s v="Услуги связи"/>
    <x v="13"/>
    <s v="Куліш Василь Валентин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Латишев Олексій Володими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Савченко Катерина Олександр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Хрущов Денис Володими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13"/>
    <s v="Цьомик Вадим Геннад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Донецк"/>
    <x v="2"/>
    <x v="4"/>
    <s v="Услуги связи"/>
    <x v="13"/>
    <m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Донецк"/>
    <x v="2"/>
    <x v="4"/>
    <s v="Услуги связи"/>
    <x v="39"/>
    <m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Зарплата"/>
    <s v="Киев"/>
    <x v="2"/>
    <x v="0"/>
    <s v="Зарплата"/>
    <x v="0"/>
    <m/>
    <m/>
    <n v="233110"/>
    <n v="233110"/>
    <n v="233110"/>
    <n v="236310"/>
    <n v="239910"/>
    <n v="239910"/>
    <n v="239910"/>
    <n v="239910"/>
    <n v="239910"/>
    <n v="236310"/>
    <n v="236310"/>
    <n v="236310"/>
    <n v="2844120"/>
  </r>
  <r>
    <x v="0"/>
    <x v="0"/>
    <x v="1"/>
    <s v="Продажи"/>
    <s v="Командировочные расходы"/>
    <s v="Киев"/>
    <x v="2"/>
    <x v="1"/>
    <s v="Командировочные расходы"/>
    <x v="1"/>
    <s v="Вавринчук Володимир Петрович"/>
    <m/>
    <m/>
    <m/>
    <m/>
    <m/>
    <m/>
    <m/>
    <m/>
    <m/>
    <m/>
    <m/>
    <m/>
    <m/>
    <n v="0"/>
  </r>
  <r>
    <x v="0"/>
    <x v="0"/>
    <x v="1"/>
    <s v="Продажи"/>
    <s v="Командировочные расходы"/>
    <s v="Киев"/>
    <x v="2"/>
    <x v="1"/>
    <s v="Командировочные расходы"/>
    <x v="1"/>
    <s v="Мезін Дмитро Геннадійович"/>
    <m/>
    <m/>
    <m/>
    <m/>
    <m/>
    <m/>
    <m/>
    <m/>
    <m/>
    <m/>
    <m/>
    <m/>
    <m/>
    <n v="0"/>
  </r>
  <r>
    <x v="0"/>
    <x v="0"/>
    <x v="1"/>
    <s v="Продажи"/>
    <s v="Командировочные расходы"/>
    <s v="Киев"/>
    <x v="2"/>
    <x v="1"/>
    <s v="Командировочные расходы"/>
    <x v="1"/>
    <s v="Пащенко Василь Іванович"/>
    <m/>
    <m/>
    <m/>
    <m/>
    <m/>
    <m/>
    <m/>
    <m/>
    <m/>
    <m/>
    <m/>
    <m/>
    <m/>
    <n v="0"/>
  </r>
  <r>
    <x v="0"/>
    <x v="0"/>
    <x v="1"/>
    <s v="Продажи"/>
    <s v="Расходы на налоги"/>
    <s v="Киев"/>
    <x v="2"/>
    <x v="3"/>
    <s v="Расходы на налоги"/>
    <x v="12"/>
    <m/>
    <m/>
    <n v="23507.06"/>
    <n v="23507.06"/>
    <n v="23507.06"/>
    <n v="24019.02"/>
    <n v="24530.99"/>
    <n v="24530.99"/>
    <n v="24530.99"/>
    <n v="24530.99"/>
    <n v="24530.99"/>
    <n v="24019.02"/>
    <n v="24019.02"/>
    <n v="24019.02"/>
    <n v="289252.21000000002"/>
  </r>
  <r>
    <x v="0"/>
    <x v="0"/>
    <x v="1"/>
    <s v="Продажи"/>
    <s v="Расходы на персонал"/>
    <s v="Киев"/>
    <x v="2"/>
    <x v="7"/>
    <s v="Расходы на персонал"/>
    <x v="37"/>
    <s v="Вавринчук Володимир Петр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s v="Заєць Євген Микола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s v="Ксенчина Анна Володимирі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s v="Мезін Дмитро Геннад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s v="Пащенко Василь Іван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s v="Рудяк Андрій Микола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37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29"/>
    <s v="Вавринчук Володимир Петрович"/>
    <m/>
    <n v="1700"/>
    <n v="1700"/>
    <n v="1700"/>
    <n v="1700"/>
    <n v="1700"/>
    <n v="1700"/>
    <n v="1700"/>
    <n v="1700"/>
    <n v="1700"/>
    <n v="1700"/>
    <n v="1700"/>
    <n v="1700"/>
    <n v="20400"/>
  </r>
  <r>
    <x v="0"/>
    <x v="0"/>
    <x v="1"/>
    <s v="Продажи"/>
    <s v="Расходы на персонал"/>
    <s v="Киев"/>
    <x v="2"/>
    <x v="7"/>
    <s v="Расходы на персонал"/>
    <x v="29"/>
    <s v="Заєць Євген Миколайович"/>
    <m/>
    <n v="1125"/>
    <n v="1125"/>
    <n v="1125"/>
    <n v="1125"/>
    <n v="1125"/>
    <n v="1125"/>
    <n v="1125"/>
    <n v="1125"/>
    <n v="1125"/>
    <n v="1125"/>
    <n v="1125"/>
    <n v="1125"/>
    <n v="13500"/>
  </r>
  <r>
    <x v="0"/>
    <x v="0"/>
    <x v="1"/>
    <s v="Продажи"/>
    <s v="Расходы на персонал"/>
    <s v="Киев"/>
    <x v="2"/>
    <x v="7"/>
    <s v="Расходы на персонал"/>
    <x v="29"/>
    <s v="Ксенчина Анна Володимирівна"/>
    <m/>
    <n v="850"/>
    <n v="850"/>
    <n v="850"/>
    <n v="850"/>
    <n v="850"/>
    <n v="850"/>
    <n v="850"/>
    <n v="850"/>
    <n v="850"/>
    <n v="850"/>
    <n v="850"/>
    <n v="850"/>
    <n v="10200"/>
  </r>
  <r>
    <x v="0"/>
    <x v="0"/>
    <x v="1"/>
    <s v="Продажи"/>
    <s v="Расходы на персонал"/>
    <s v="Киев"/>
    <x v="2"/>
    <x v="7"/>
    <s v="Расходы на персонал"/>
    <x v="29"/>
    <s v="Мезін Дмитро Геннадійович"/>
    <m/>
    <n v="3850"/>
    <n v="3850"/>
    <n v="3850"/>
    <n v="3850"/>
    <n v="3850"/>
    <n v="3850"/>
    <n v="3850"/>
    <n v="3850"/>
    <n v="3850"/>
    <n v="3850"/>
    <n v="3850"/>
    <n v="3850"/>
    <n v="46200"/>
  </r>
  <r>
    <x v="0"/>
    <x v="0"/>
    <x v="1"/>
    <s v="Продажи"/>
    <s v="Расходы на персонал"/>
    <s v="Киев"/>
    <x v="2"/>
    <x v="7"/>
    <s v="Расходы на персонал"/>
    <x v="29"/>
    <s v="Пащенко Василь Іванович"/>
    <m/>
    <n v="3200"/>
    <n v="3200"/>
    <n v="3200"/>
    <n v="3200"/>
    <n v="3200"/>
    <n v="3200"/>
    <n v="3200"/>
    <n v="3200"/>
    <n v="3200"/>
    <n v="3200"/>
    <n v="3200"/>
    <n v="3200"/>
    <n v="38400"/>
  </r>
  <r>
    <x v="0"/>
    <x v="0"/>
    <x v="1"/>
    <s v="Продажи"/>
    <s v="Расходы на персонал"/>
    <s v="Киев"/>
    <x v="2"/>
    <x v="7"/>
    <s v="Расходы на персонал"/>
    <x v="29"/>
    <s v="Рудяк Андрій Миколайович"/>
    <m/>
    <n v="1800"/>
    <n v="1800"/>
    <n v="1800"/>
    <n v="1800"/>
    <n v="1800"/>
    <n v="1800"/>
    <n v="1800"/>
    <n v="1800"/>
    <n v="1800"/>
    <n v="1800"/>
    <n v="1800"/>
    <n v="1800"/>
    <n v="21600"/>
  </r>
  <r>
    <x v="0"/>
    <x v="0"/>
    <x v="1"/>
    <s v="Продажи"/>
    <s v="Расходы на персонал"/>
    <s v="Киев"/>
    <x v="2"/>
    <x v="7"/>
    <s v="Расходы на персонал"/>
    <x v="29"/>
    <m/>
    <m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Продажи"/>
    <s v="Расходы на персонал"/>
    <s v="Киев"/>
    <x v="2"/>
    <x v="7"/>
    <s v="Расходы на персонал"/>
    <x v="26"/>
    <s v="Бабюк Віталій Володими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Белан Олександр Володими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Бондар Алла Вікторівна"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персонал"/>
    <s v="Киев"/>
    <x v="2"/>
    <x v="7"/>
    <s v="Расходы на персонал"/>
    <x v="26"/>
    <s v="Бондаренко Євгеній Пет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Борисюк Ірина Іванівна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Вальт Інна Миколаївна"/>
    <m/>
    <n v="360"/>
    <n v="360"/>
    <n v="360"/>
    <n v="360"/>
    <n v="360"/>
    <n v="360"/>
    <n v="360"/>
    <n v="360"/>
    <n v="360"/>
    <n v="360"/>
    <n v="360"/>
    <n v="360"/>
    <n v="4320"/>
  </r>
  <r>
    <x v="0"/>
    <x v="0"/>
    <x v="1"/>
    <s v="Продажи"/>
    <s v="Расходы на персонал"/>
    <s v="Киев"/>
    <x v="2"/>
    <x v="7"/>
    <s v="Расходы на персонал"/>
    <x v="26"/>
    <s v="Венгеров Євген Олександ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Власова Оксана Юріївна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Гарбуз Олег Сергійович"/>
    <m/>
    <n v="350"/>
    <n v="350"/>
    <n v="350"/>
    <n v="350"/>
    <n v="350"/>
    <n v="350"/>
    <n v="350"/>
    <n v="350"/>
    <n v="350"/>
    <n v="350"/>
    <n v="350"/>
    <n v="350"/>
    <n v="4200"/>
  </r>
  <r>
    <x v="0"/>
    <x v="0"/>
    <x v="1"/>
    <s v="Продажи"/>
    <s v="Расходы на персонал"/>
    <s v="Киев"/>
    <x v="2"/>
    <x v="7"/>
    <s v="Расходы на персонал"/>
    <x v="26"/>
    <s v="Гречан Максим Юрій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Дегтярьов Ярослав Іго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Думчев Андрій  Михайл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Калінін Едуард Олег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Калніболоцька Наталія Юріївна"/>
    <m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Продажи"/>
    <s v="Расходы на персонал"/>
    <s v="Киев"/>
    <x v="2"/>
    <x v="7"/>
    <s v="Расходы на персонал"/>
    <x v="26"/>
    <s v="Кириленко Євгеній Анатолійович"/>
    <m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Продажи"/>
    <s v="Расходы на персонал"/>
    <s v="Киев"/>
    <x v="2"/>
    <x v="7"/>
    <s v="Расходы на персонал"/>
    <x v="26"/>
    <s v="Кіпріянов Дмитро Сергійович"/>
    <m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Продажи"/>
    <s v="Расходы на персонал"/>
    <s v="Киев"/>
    <x v="2"/>
    <x v="7"/>
    <s v="Расходы на персонал"/>
    <x v="26"/>
    <s v="Кліменко Олександр Олександ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Левченко   Роман Іго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Литовченко Олександр Іван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Лопатін Юрій Михайл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Луценко Олександр Михайл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Омельчук Андрій Пет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Онищук Людмила Миколаївна"/>
    <m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Продажи"/>
    <s v="Расходы на персонал"/>
    <s v="Киев"/>
    <x v="2"/>
    <x v="7"/>
    <s v="Расходы на персонал"/>
    <x v="26"/>
    <s v="Павленко Володимир Вікто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Полішвайко Дмитро Юрійович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Киев"/>
    <x v="2"/>
    <x v="7"/>
    <s v="Расходы на персонал"/>
    <x v="26"/>
    <s v="Ремига Петро Владислав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Киев"/>
    <x v="2"/>
    <x v="7"/>
    <s v="Расходы на персонал"/>
    <x v="26"/>
    <s v="Риженко Людмила Іванівна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Сайчук Володимир Сергійович"/>
    <m/>
    <n v="310"/>
    <n v="310"/>
    <n v="310"/>
    <n v="310"/>
    <n v="310"/>
    <n v="310"/>
    <n v="310"/>
    <n v="310"/>
    <n v="310"/>
    <n v="310"/>
    <n v="310"/>
    <n v="310"/>
    <n v="3720"/>
  </r>
  <r>
    <x v="0"/>
    <x v="0"/>
    <x v="1"/>
    <s v="Продажи"/>
    <s v="Расходы на персонал"/>
    <s v="Киев"/>
    <x v="2"/>
    <x v="7"/>
    <s v="Расходы на персонал"/>
    <x v="26"/>
    <s v="Самсонов Дмитро Сергій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Семенчук Євген  Олександ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Семчак Віталій Володимир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Сиволапенко Олексій Андрій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Сіренко Олександр Анатолійович"/>
    <m/>
    <n v="350"/>
    <n v="350"/>
    <n v="350"/>
    <n v="350"/>
    <n v="350"/>
    <n v="350"/>
    <n v="350"/>
    <n v="350"/>
    <n v="350"/>
    <n v="350"/>
    <n v="350"/>
    <n v="350"/>
    <n v="4200"/>
  </r>
  <r>
    <x v="0"/>
    <x v="0"/>
    <x v="1"/>
    <s v="Продажи"/>
    <s v="Расходы на персонал"/>
    <s v="Киев"/>
    <x v="2"/>
    <x v="7"/>
    <s v="Расходы на персонал"/>
    <x v="26"/>
    <s v="Струль Єгор Борис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s v="Торкунов Олексій Михайл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Киев"/>
    <x v="2"/>
    <x v="7"/>
    <s v="Расходы на персонал"/>
    <x v="26"/>
    <s v="Яровий Олександр Сергійович"/>
    <m/>
    <n v="420"/>
    <n v="420"/>
    <n v="420"/>
    <n v="420"/>
    <n v="420"/>
    <n v="420"/>
    <n v="420"/>
    <n v="420"/>
    <n v="420"/>
    <n v="420"/>
    <n v="420"/>
    <n v="420"/>
    <n v="5040"/>
  </r>
  <r>
    <x v="0"/>
    <x v="0"/>
    <x v="1"/>
    <s v="Продажи"/>
    <s v="Расходы на персонал"/>
    <s v="Киев"/>
    <x v="2"/>
    <x v="7"/>
    <s v="Расходы на персонал"/>
    <x v="26"/>
    <s v="Ярошенко Сергій Сергійович"/>
    <m/>
    <n v="230"/>
    <n v="230"/>
    <n v="230"/>
    <n v="230"/>
    <n v="230"/>
    <n v="230"/>
    <n v="230"/>
    <n v="230"/>
    <n v="230"/>
    <n v="230"/>
    <n v="230"/>
    <n v="230"/>
    <n v="2760"/>
  </r>
  <r>
    <x v="0"/>
    <x v="0"/>
    <x v="1"/>
    <s v="Продажи"/>
    <s v="Расходы на персонал"/>
    <s v="Киев"/>
    <x v="2"/>
    <x v="7"/>
    <s v="Расходы на персонал"/>
    <x v="26"/>
    <m/>
    <m/>
    <n v="230"/>
    <n v="230"/>
    <n v="230"/>
    <n v="470"/>
    <n v="705"/>
    <n v="705"/>
    <n v="705"/>
    <n v="705"/>
    <n v="705"/>
    <n v="470"/>
    <n v="470"/>
    <n v="470"/>
    <n v="6095"/>
  </r>
  <r>
    <x v="0"/>
    <x v="2"/>
    <x v="1"/>
    <s v="Продажи"/>
    <s v="Расходы на списание"/>
    <s v="Киев"/>
    <x v="2"/>
    <x v="22"/>
    <s v="Расходы на списание"/>
    <x v="73"/>
    <m/>
    <m/>
    <n v="26440"/>
    <n v="31000"/>
    <n v="35000"/>
    <n v="68500"/>
    <n v="71000"/>
    <n v="83000"/>
    <n v="50000"/>
    <n v="64000"/>
    <n v="54000"/>
    <n v="51000"/>
    <n v="41000"/>
    <n v="43000"/>
    <n v="617940"/>
  </r>
  <r>
    <x v="0"/>
    <x v="0"/>
    <x v="1"/>
    <s v="Расходы на трейд-маркетинг"/>
    <s v="Оплата за размещение в тт"/>
    <s v="Киев"/>
    <x v="2"/>
    <x v="14"/>
    <s v="Оплата за размещение в тт"/>
    <x v="81"/>
    <s v="Мезін Дмитро Геннадійович"/>
    <m/>
    <n v="500"/>
    <n v="500"/>
    <n v="500"/>
    <n v="1500"/>
    <n v="1500"/>
    <n v="1500"/>
    <n v="1300"/>
    <n v="1500"/>
    <n v="1500"/>
    <n v="1500"/>
    <n v="1500"/>
    <n v="1500"/>
    <n v="14800"/>
  </r>
  <r>
    <x v="0"/>
    <x v="0"/>
    <x v="1"/>
    <s v="Расходы на трейд-маркетинг"/>
    <s v="Трейд-маркетинг"/>
    <s v="Киев"/>
    <x v="2"/>
    <x v="14"/>
    <s v="Трейд-маркетинг"/>
    <x v="54"/>
    <m/>
    <m/>
    <m/>
    <m/>
    <m/>
    <m/>
    <m/>
    <m/>
    <m/>
    <m/>
    <m/>
    <m/>
    <m/>
    <m/>
    <n v="0"/>
  </r>
  <r>
    <x v="0"/>
    <x v="0"/>
    <x v="1"/>
    <s v="Продажи"/>
    <s v="Расходы на услуги сторонних организаций"/>
    <s v="Киев"/>
    <x v="2"/>
    <x v="8"/>
    <s v="Расходы на услуги сторонних организаций"/>
    <x v="47"/>
    <s v="Мезін Дмитро Геннад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Киев"/>
    <x v="2"/>
    <x v="4"/>
    <s v="Услуги связи"/>
    <x v="13"/>
    <s v="Бабюк Віталій Володими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Белан Олександр Володими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Бондар Алла Вікто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Бондаренко Євгеній Пет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Борисюк Ірина Іван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Вавринчук Володимир Петр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Киев"/>
    <x v="2"/>
    <x v="4"/>
    <s v="Услуги связи"/>
    <x v="13"/>
    <s v="Вальт Інна Миколаї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Венгеров Євген Олександ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Власова Оксана Юрі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Гарбуз Олег Серг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Гречан Максим Юр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Дегтярьов Ярослав Іго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Думчев Андрій  Михайл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Заєць Євген Микола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Калінін Едуард Олег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Калніболоцька Наталія Юрії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Кириленко Євгеній Анатол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Кіпріянов Дмитро Серг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Кліменко Олександр Олександ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Ксенчина Анна Володими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Левченко   Роман Іго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Литовченко Олександр Іван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Літвінов Віталій Володими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Лопатін Юрій Михайл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Луценко Олександр Михайл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Мезін Дмитро Геннад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Киев"/>
    <x v="2"/>
    <x v="4"/>
    <s v="Услуги связи"/>
    <x v="13"/>
    <s v="Омельчук Андрій Пет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Онищук Людмила Микола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Павленко Володимир Вікто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Пащенко Василь Іван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Киев"/>
    <x v="2"/>
    <x v="4"/>
    <s v="Услуги связи"/>
    <x v="13"/>
    <s v="Полішвайко Дмитро Юр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Ремига Петро Владислав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Риженко Людмила Іван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Рудяк Андрій Микола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Сайчук Володимир Серг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Самсонов Дмитро Серг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Семенчук Євген  Олександр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Семчак Віталій Володими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Сиволапенко Олексій Андр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Сіренко Олександр Анатол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Струль Єгор Борис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Торкунов Олексій Михайл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Киев"/>
    <x v="2"/>
    <x v="4"/>
    <s v="Услуги связи"/>
    <x v="13"/>
    <s v="Яровий Олександр Серг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s v="Ярошенко Сергій Сергійович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Киев"/>
    <x v="2"/>
    <x v="4"/>
    <s v="Услуги связи"/>
    <x v="13"/>
    <m/>
    <m/>
    <n v="41"/>
    <n v="41"/>
    <n v="41"/>
    <n v="83"/>
    <n v="126"/>
    <n v="126"/>
    <n v="126"/>
    <n v="126"/>
    <n v="126"/>
    <n v="83"/>
    <n v="83"/>
    <n v="83"/>
    <n v="1085"/>
  </r>
  <r>
    <x v="0"/>
    <x v="0"/>
    <x v="1"/>
    <s v="Продажи"/>
    <s v="Аренда"/>
    <s v="Львов сети"/>
    <x v="2"/>
    <x v="9"/>
    <s v="Аренда"/>
    <x v="34"/>
    <m/>
    <m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Продажи"/>
    <s v="Зарплата"/>
    <s v="Львов сети"/>
    <x v="2"/>
    <x v="0"/>
    <s v="Зарплата"/>
    <x v="0"/>
    <m/>
    <m/>
    <n v="61800"/>
    <n v="61800"/>
    <n v="61800"/>
    <n v="61800"/>
    <n v="61800"/>
    <n v="61800"/>
    <n v="61800"/>
    <n v="61800"/>
    <n v="61800"/>
    <n v="61800"/>
    <n v="61800"/>
    <n v="61800"/>
    <n v="741600"/>
  </r>
  <r>
    <x v="0"/>
    <x v="0"/>
    <x v="1"/>
    <s v="Продажи"/>
    <s v="Командировочные расходы"/>
    <s v="Львов сети"/>
    <x v="2"/>
    <x v="1"/>
    <s v="Командировочные расходы"/>
    <x v="1"/>
    <s v="Біляк Марія Іванівна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Расходы на налоги"/>
    <s v="Львов сети"/>
    <x v="2"/>
    <x v="3"/>
    <s v="Расходы на налоги"/>
    <x v="12"/>
    <m/>
    <m/>
    <n v="5774.43"/>
    <n v="5774.43"/>
    <n v="5774.43"/>
    <n v="5774.43"/>
    <n v="5774.43"/>
    <n v="5774.43"/>
    <n v="5774.43"/>
    <n v="5774.43"/>
    <n v="5774.43"/>
    <n v="5774.43"/>
    <n v="5774.43"/>
    <n v="5774.43"/>
    <n v="69293.16"/>
  </r>
  <r>
    <x v="0"/>
    <x v="0"/>
    <x v="1"/>
    <s v="Продажи"/>
    <s v="Расходы на персонал"/>
    <s v="Львов сети"/>
    <x v="2"/>
    <x v="7"/>
    <s v="Расходы на персонал"/>
    <x v="37"/>
    <s v="Веремчук Роман Олександр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Львов сети"/>
    <x v="2"/>
    <x v="7"/>
    <s v="Расходы на персонал"/>
    <x v="37"/>
    <s v="Подольська Людмила Вікторі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Львов сети"/>
    <x v="2"/>
    <x v="7"/>
    <s v="Расходы на персонал"/>
    <x v="29"/>
    <s v="Біляк Марія Іванівна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Львов сети"/>
    <x v="2"/>
    <x v="7"/>
    <s v="Расходы на персонал"/>
    <x v="29"/>
    <s v="Веремчук Роман Олександрович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Расходы на персонал"/>
    <s v="Львов сети"/>
    <x v="2"/>
    <x v="7"/>
    <s v="Расходы на персонал"/>
    <x v="29"/>
    <s v="Подольська Людмила Вікторівна"/>
    <m/>
    <n v="800"/>
    <n v="800"/>
    <n v="800"/>
    <n v="800"/>
    <n v="1100"/>
    <n v="1100"/>
    <m/>
    <n v="1100"/>
    <n v="800"/>
    <n v="800"/>
    <n v="800"/>
    <n v="800"/>
    <n v="97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Вархола Максим Іванович"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Волосянський Юрій Олегович"/>
    <m/>
    <n v="1600"/>
    <n v="1600"/>
    <n v="1600"/>
    <n v="1600"/>
    <n v="1900"/>
    <n v="1800"/>
    <n v="1600"/>
    <n v="1800"/>
    <n v="1600"/>
    <n v="1600"/>
    <n v="1600"/>
    <n v="1600"/>
    <n v="199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Каратаєв Іван Вадимович"/>
    <m/>
    <n v="800"/>
    <n v="800"/>
    <n v="800"/>
    <n v="800"/>
    <n v="1000"/>
    <n v="1000"/>
    <n v="800"/>
    <n v="1000"/>
    <n v="800"/>
    <n v="800"/>
    <n v="800"/>
    <n v="800"/>
    <n v="102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Константинова Оксана Дмитрівна"/>
    <m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Король Сергій Юрійович"/>
    <m/>
    <n v="980"/>
    <n v="980"/>
    <n v="980"/>
    <n v="980"/>
    <n v="980"/>
    <n v="980"/>
    <n v="980"/>
    <n v="980"/>
    <n v="980"/>
    <n v="980"/>
    <n v="980"/>
    <n v="980"/>
    <n v="1176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Подольська Людмила Вікторівна"/>
    <m/>
    <m/>
    <m/>
    <m/>
    <m/>
    <m/>
    <m/>
    <n v="800"/>
    <m/>
    <m/>
    <m/>
    <m/>
    <m/>
    <n v="8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Середюк Кароліна Мирославівна"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Хижук Антон Ігорович"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персонал"/>
    <s v="Львов сети"/>
    <x v="2"/>
    <x v="7"/>
    <s v="Расходы на персонал"/>
    <x v="26"/>
    <s v="Хлібкевич Ігор Орестович"/>
    <m/>
    <n v="800"/>
    <n v="800"/>
    <n v="800"/>
    <n v="800"/>
    <n v="800"/>
    <n v="800"/>
    <n v="800"/>
    <n v="800"/>
    <n v="800"/>
    <n v="800"/>
    <n v="800"/>
    <n v="800"/>
    <n v="9600"/>
  </r>
  <r>
    <x v="0"/>
    <x v="2"/>
    <x v="1"/>
    <s v="Продажи"/>
    <s v="Расходы на списание"/>
    <s v="Львов сети"/>
    <x v="2"/>
    <x v="22"/>
    <s v="Расходы на списание"/>
    <x v="73"/>
    <m/>
    <m/>
    <n v="9700"/>
    <n v="9700"/>
    <n v="9700"/>
    <n v="12300"/>
    <n v="9700"/>
    <n v="9700"/>
    <n v="9700"/>
    <n v="9700"/>
    <n v="9700"/>
    <n v="9700"/>
    <n v="9700"/>
    <n v="9700"/>
    <n v="119000"/>
  </r>
  <r>
    <x v="0"/>
    <x v="0"/>
    <x v="1"/>
    <s v="Расходы на трейд-маркетинг"/>
    <s v="Оплата за размещение в тт"/>
    <s v="Львов сети"/>
    <x v="2"/>
    <x v="14"/>
    <s v="Оплата за размещение в тт"/>
    <x v="81"/>
    <m/>
    <m/>
    <m/>
    <m/>
    <m/>
    <m/>
    <n v="2000"/>
    <n v="2000"/>
    <n v="2000"/>
    <n v="2000"/>
    <n v="2000"/>
    <m/>
    <m/>
    <m/>
    <n v="10000"/>
  </r>
  <r>
    <x v="0"/>
    <x v="0"/>
    <x v="1"/>
    <s v="Расходы на трейд-маркетинг"/>
    <s v="Трейд-маркетинг"/>
    <s v="Львов сети"/>
    <x v="2"/>
    <x v="14"/>
    <s v="Трейд-маркетинг"/>
    <x v="54"/>
    <m/>
    <s v="Евротек"/>
    <m/>
    <m/>
    <m/>
    <m/>
    <m/>
    <m/>
    <m/>
    <m/>
    <m/>
    <m/>
    <m/>
    <m/>
    <n v="0"/>
  </r>
  <r>
    <x v="0"/>
    <x v="0"/>
    <x v="1"/>
    <s v="Расходы на трейд-маркетинг"/>
    <s v="Трейд-маркетинг"/>
    <s v="Львов сети"/>
    <x v="2"/>
    <x v="14"/>
    <s v="Трейд-маркетинг"/>
    <x v="54"/>
    <m/>
    <m/>
    <m/>
    <m/>
    <m/>
    <m/>
    <m/>
    <m/>
    <m/>
    <m/>
    <m/>
    <m/>
    <m/>
    <m/>
    <n v="0"/>
  </r>
  <r>
    <x v="0"/>
    <x v="0"/>
    <x v="1"/>
    <s v="Продажи"/>
    <s v="Расходы на услуги сторонних организаций"/>
    <s v="Львов сети"/>
    <x v="2"/>
    <x v="8"/>
    <s v="Расходы на услуги сторонних организаций"/>
    <x v="47"/>
    <s v="Біляк Марія Іванівна"/>
    <m/>
    <n v="250"/>
    <n v="250"/>
    <n v="250"/>
    <n v="250"/>
    <n v="250"/>
    <n v="250"/>
    <n v="250"/>
    <n v="250"/>
    <n v="250"/>
    <n v="250"/>
    <n v="250"/>
    <n v="250"/>
    <n v="3000"/>
  </r>
  <r>
    <x v="0"/>
    <x v="0"/>
    <x v="1"/>
    <s v="Продажи"/>
    <s v="Расходы на услуги сторонних организаций"/>
    <s v="Львов сети"/>
    <x v="2"/>
    <x v="8"/>
    <s v="Расходы на услуги сторонних организаций"/>
    <x v="32"/>
    <m/>
    <m/>
    <n v="150"/>
    <n v="150"/>
    <n v="150"/>
    <n v="150"/>
    <n v="150"/>
    <n v="150"/>
    <n v="150"/>
    <n v="150"/>
    <n v="150"/>
    <n v="150"/>
    <n v="150"/>
    <n v="150"/>
    <n v="1800"/>
  </r>
  <r>
    <x v="0"/>
    <x v="0"/>
    <x v="1"/>
    <s v="Продажи"/>
    <s v="Услуги связи"/>
    <s v="Львов сети"/>
    <x v="2"/>
    <x v="4"/>
    <s v="Услуги связи"/>
    <x v="13"/>
    <s v="Вархола Максим Іванович"/>
    <m/>
    <n v="41"/>
    <n v="61"/>
    <n v="61"/>
    <n v="61"/>
    <n v="61"/>
    <n v="61"/>
    <n v="61"/>
    <n v="61"/>
    <n v="61"/>
    <n v="61"/>
    <n v="61"/>
    <n v="61"/>
    <n v="712"/>
  </r>
  <r>
    <x v="0"/>
    <x v="0"/>
    <x v="1"/>
    <s v="Продажи"/>
    <s v="Услуги связи"/>
    <s v="Львов сети"/>
    <x v="2"/>
    <x v="4"/>
    <s v="Услуги связи"/>
    <x v="13"/>
    <s v="Веремчук Роман Олександр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Львов сети"/>
    <x v="2"/>
    <x v="4"/>
    <s v="Услуги связи"/>
    <x v="13"/>
    <s v="Волосянський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Львов сети"/>
    <x v="2"/>
    <x v="4"/>
    <s v="Услуги связи"/>
    <x v="13"/>
    <s v="Каратаєв Іван Вадим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Львов сети"/>
    <x v="2"/>
    <x v="4"/>
    <s v="Услуги связи"/>
    <x v="13"/>
    <s v="Константинова Оксана Дмит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Львов сети"/>
    <x v="2"/>
    <x v="4"/>
    <s v="Услуги связи"/>
    <x v="13"/>
    <s v="Король Сергій Юрійович"/>
    <m/>
    <n v="91"/>
    <n v="91"/>
    <n v="91"/>
    <n v="91"/>
    <n v="91"/>
    <n v="91"/>
    <n v="91"/>
    <n v="91"/>
    <n v="91"/>
    <n v="91"/>
    <n v="61"/>
    <n v="91"/>
    <n v="1062"/>
  </r>
  <r>
    <x v="0"/>
    <x v="0"/>
    <x v="1"/>
    <s v="Продажи"/>
    <s v="Услуги связи"/>
    <s v="Львов сети"/>
    <x v="2"/>
    <x v="4"/>
    <s v="Услуги связи"/>
    <x v="13"/>
    <s v="Подольська Людмила Вікто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Львов сети"/>
    <x v="2"/>
    <x v="4"/>
    <s v="Услуги связи"/>
    <x v="13"/>
    <s v="Середюк Кароліна Мирославівна"/>
    <m/>
    <n v="61"/>
    <n v="61"/>
    <n v="61"/>
    <n v="61"/>
    <n v="61"/>
    <n v="61"/>
    <n v="61"/>
    <n v="61"/>
    <n v="61"/>
    <n v="61"/>
    <n v="61"/>
    <n v="61"/>
    <n v="732"/>
  </r>
  <r>
    <x v="0"/>
    <x v="0"/>
    <x v="1"/>
    <s v="Продажи"/>
    <s v="Услуги связи"/>
    <s v="Львов сети"/>
    <x v="2"/>
    <x v="4"/>
    <s v="Услуги связи"/>
    <x v="13"/>
    <s v="Хижук Антон Ігорович"/>
    <m/>
    <n v="41"/>
    <n v="61"/>
    <n v="61"/>
    <n v="61"/>
    <n v="61"/>
    <n v="61"/>
    <n v="61"/>
    <n v="61"/>
    <n v="61"/>
    <n v="61"/>
    <n v="61"/>
    <n v="61"/>
    <n v="712"/>
  </r>
  <r>
    <x v="0"/>
    <x v="0"/>
    <x v="1"/>
    <s v="Продажи"/>
    <s v="Услуги связи"/>
    <s v="Львов сети"/>
    <x v="2"/>
    <x v="4"/>
    <s v="Услуги связи"/>
    <x v="13"/>
    <s v="Хлібкевич Ігор Орест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Зарплата"/>
    <s v="Национальные сети"/>
    <x v="2"/>
    <x v="0"/>
    <s v="Зарплата"/>
    <x v="0"/>
    <m/>
    <m/>
    <n v="94800"/>
    <n v="94800"/>
    <n v="94800"/>
    <n v="94800"/>
    <n v="94800"/>
    <n v="94800"/>
    <n v="94800"/>
    <n v="94800"/>
    <n v="94800"/>
    <n v="94800"/>
    <n v="94800"/>
    <n v="94800"/>
    <n v="1137600"/>
  </r>
  <r>
    <x v="0"/>
    <x v="0"/>
    <x v="1"/>
    <s v="Продажи"/>
    <s v="Командировочные расходы"/>
    <s v="Национальные сети"/>
    <x v="2"/>
    <x v="1"/>
    <s v="Командировочные расходы"/>
    <x v="1"/>
    <s v="Бака Лілія Олексіївна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Командировочные расходы"/>
    <s v="Национальные сети"/>
    <x v="2"/>
    <x v="1"/>
    <s v="Командировочные расходы"/>
    <x v="1"/>
    <s v="Білик Дмитро Вікторович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Командировочные расходы"/>
    <s v="Национальные сети"/>
    <x v="2"/>
    <x v="1"/>
    <s v="Командировочные расходы"/>
    <x v="1"/>
    <s v="Білоус Іван Петрович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Командировочные расходы"/>
    <s v="Национальные сети"/>
    <x v="2"/>
    <x v="1"/>
    <s v="Командировочные расходы"/>
    <x v="1"/>
    <s v="Савін Олексій Леонідович"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Продажи"/>
    <s v="Командировочные расходы"/>
    <s v="Национальные сети"/>
    <x v="2"/>
    <x v="1"/>
    <s v="Командировочные расходы"/>
    <x v="1"/>
    <s v="Старовойтов Юрій Олександрович"/>
    <m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Продажи"/>
    <s v="Расходы на канцтовары и обслуживание оргтехники"/>
    <s v="Национальные сети"/>
    <x v="2"/>
    <x v="6"/>
    <s v="Расходы на канцтовары и обслуживание оргтехники"/>
    <x v="17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налоги"/>
    <s v="Национальные сети"/>
    <x v="2"/>
    <x v="3"/>
    <s v="Расходы на налоги"/>
    <x v="12"/>
    <m/>
    <m/>
    <n v="3011.58"/>
    <n v="3011.58"/>
    <n v="3011.58"/>
    <n v="3011.58"/>
    <n v="3011.58"/>
    <n v="3011.58"/>
    <n v="3011.58"/>
    <n v="3011.58"/>
    <n v="3011.58"/>
    <n v="3011.58"/>
    <n v="3011.58"/>
    <n v="3011.58"/>
    <n v="36138.960000000006"/>
  </r>
  <r>
    <x v="0"/>
    <x v="0"/>
    <x v="1"/>
    <s v="Продажи"/>
    <s v="Расходы на персонал"/>
    <s v="Национальные сети"/>
    <x v="2"/>
    <x v="7"/>
    <s v="Расходы на персонал"/>
    <x v="37"/>
    <s v="Бака Лілія Олексії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Национальные сети"/>
    <x v="2"/>
    <x v="7"/>
    <s v="Расходы на персонал"/>
    <x v="37"/>
    <s v="Білик Дмитро Віктор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Национальные сети"/>
    <x v="2"/>
    <x v="7"/>
    <s v="Расходы на персонал"/>
    <x v="37"/>
    <s v="Білоус Іван Петр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Национальные сети"/>
    <x v="2"/>
    <x v="7"/>
    <s v="Расходы на персонал"/>
    <x v="37"/>
    <s v="Савін Олексій Леонід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9"/>
    <s v="Бака Лілія Олексіївна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9"/>
    <s v="Білик Дмитро Вікторович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9"/>
    <s v="Білоус Іван Петрович"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9"/>
    <s v="Савін Олексій Леонідович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9"/>
    <s v="Старовойтов Юрій Олександрович"/>
    <m/>
    <n v="2000"/>
    <n v="2000"/>
    <n v="2000"/>
    <n v="2000"/>
    <n v="2000"/>
    <n v="2000"/>
    <n v="2000"/>
    <n v="2000"/>
    <n v="2000"/>
    <n v="2000"/>
    <n v="2000"/>
    <n v="2000"/>
    <n v="24000"/>
  </r>
  <r>
    <x v="0"/>
    <x v="0"/>
    <x v="1"/>
    <s v="Продажи"/>
    <s v="Расходы на персонал"/>
    <s v="Национальные сети"/>
    <x v="2"/>
    <x v="7"/>
    <s v="Расходы на персонал"/>
    <x v="26"/>
    <m/>
    <m/>
    <n v="500"/>
    <n v="500"/>
    <n v="500"/>
    <n v="500"/>
    <n v="500"/>
    <n v="500"/>
    <n v="500"/>
    <n v="500"/>
    <n v="500"/>
    <n v="500"/>
    <n v="500"/>
    <n v="500"/>
    <n v="6000"/>
  </r>
  <r>
    <x v="0"/>
    <x v="2"/>
    <x v="1"/>
    <s v="Продажи"/>
    <s v="Расходы на списание"/>
    <s v="Национальные сети"/>
    <x v="2"/>
    <x v="22"/>
    <s v="Расходы на списание"/>
    <x v="73"/>
    <m/>
    <m/>
    <n v="3000"/>
    <n v="3000"/>
    <n v="3000"/>
    <n v="3000"/>
    <n v="3000"/>
    <n v="3000"/>
    <n v="3000"/>
    <n v="3000"/>
    <n v="3000"/>
    <n v="3000"/>
    <n v="3000"/>
    <n v="3000"/>
    <n v="36000"/>
  </r>
  <r>
    <x v="0"/>
    <x v="0"/>
    <x v="1"/>
    <s v="Расходы на трейд-маркетинг"/>
    <s v="Ввод новых позиций"/>
    <s v="Национальные сети"/>
    <x v="2"/>
    <x v="14"/>
    <s v="Ввод новых позиций"/>
    <x v="82"/>
    <m/>
    <m/>
    <m/>
    <n v="30000"/>
    <n v="300000"/>
    <n v="900000"/>
    <n v="200000"/>
    <n v="70000"/>
    <n v="70000"/>
    <n v="70000"/>
    <n v="40000"/>
    <n v="25000"/>
    <n v="50000"/>
    <n v="50000"/>
    <n v="1805000"/>
  </r>
  <r>
    <x v="0"/>
    <x v="0"/>
    <x v="1"/>
    <s v="Расходы на трейд-маркетинг"/>
    <s v="Вход в новые торговые точки"/>
    <s v="Национальные сети"/>
    <x v="2"/>
    <x v="14"/>
    <s v="Вход в новые торговые точки"/>
    <x v="83"/>
    <m/>
    <m/>
    <m/>
    <n v="50000"/>
    <n v="100000"/>
    <n v="50000"/>
    <n v="100000"/>
    <n v="50000"/>
    <n v="50000"/>
    <n v="50000"/>
    <n v="50000"/>
    <n v="50000"/>
    <n v="50000"/>
    <n v="100000"/>
    <n v="700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Адвентіс"/>
    <n v="22600"/>
    <n v="22500"/>
    <n v="26300"/>
    <n v="30000"/>
    <n v="30100"/>
    <n v="22600"/>
    <n v="26400"/>
    <n v="18800"/>
    <n v="26300"/>
    <n v="26300"/>
    <n v="18800"/>
    <n v="30100"/>
    <n v="3008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Альянс Маркет ТОВ"/>
    <n v="12000"/>
    <n v="12000"/>
    <n v="12000"/>
    <n v="12000"/>
    <n v="12000"/>
    <n v="12000"/>
    <n v="12000"/>
    <n v="12000"/>
    <n v="12000"/>
    <n v="12000"/>
    <n v="12000"/>
    <n v="12000"/>
    <n v="144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Арго-Р ТзОВ"/>
    <n v="3200"/>
    <n v="2850"/>
    <n v="2100"/>
    <n v="2100"/>
    <n v="2100"/>
    <n v="2100"/>
    <n v="2100"/>
    <n v="2100"/>
    <n v="2100"/>
    <n v="2100"/>
    <n v="2100"/>
    <n v="2100"/>
    <n v="2705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Барвінок Торгова мережа (Барвінок)"/>
    <n v="3000"/>
    <n v="3000"/>
    <n v="3000"/>
    <m/>
    <m/>
    <m/>
    <m/>
    <m/>
    <m/>
    <m/>
    <m/>
    <m/>
    <n v="9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Білла-Україна"/>
    <m/>
    <m/>
    <m/>
    <m/>
    <n v="15000"/>
    <n v="15000"/>
    <n v="15000"/>
    <n v="15000"/>
    <m/>
    <m/>
    <m/>
    <m/>
    <n v="60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Вест Лайн ТД"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Вопак-Трейд"/>
    <n v="21000"/>
    <n v="21000"/>
    <n v="16000"/>
    <n v="16000"/>
    <n v="16000"/>
    <n v="16000"/>
    <n v="16000"/>
    <n v="16000"/>
    <n v="16000"/>
    <n v="16000"/>
    <n v="16000"/>
    <n v="16000"/>
    <n v="202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Восторг ТОВ (м.Харків)"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Еко ТОВ"/>
    <n v="77000"/>
    <n v="77000"/>
    <n v="77000"/>
    <n v="77000"/>
    <n v="77000"/>
    <n v="77000"/>
    <n v="77000"/>
    <n v="77000"/>
    <n v="77000"/>
    <n v="77000"/>
    <n v="77000"/>
    <n v="77000"/>
    <n v="924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Континіум-Трейд ТзОВ"/>
    <n v="1500"/>
    <n v="1500"/>
    <n v="1500"/>
    <n v="1000"/>
    <n v="1000"/>
    <n v="1000"/>
    <n v="1000"/>
    <n v="1000"/>
    <n v="1000"/>
    <n v="1000"/>
    <n v="1000"/>
    <n v="1000"/>
    <n v="135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Край-2"/>
    <n v="10720"/>
    <n v="10720"/>
    <n v="10720"/>
    <n v="10720"/>
    <n v="10720"/>
    <n v="10720"/>
    <n v="10720"/>
    <n v="10720"/>
    <n v="10720"/>
    <n v="10720"/>
    <n v="10720"/>
    <n v="10720"/>
    <n v="12864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Лелека ТД"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Маркет Рітейл ТОВ"/>
    <n v="4000"/>
    <n v="4000"/>
    <n v="4000"/>
    <n v="4000"/>
    <n v="4000"/>
    <n v="4000"/>
    <n v="4000"/>
    <n v="4000"/>
    <n v="4000"/>
    <n v="4000"/>
    <n v="4000"/>
    <n v="4000"/>
    <n v="48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МДАЧА ТОВ"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Новая Торговая Сеть ТП ООО (Харьков) Юля"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Омега ООО (Варус)"/>
    <m/>
    <m/>
    <m/>
    <n v="10000"/>
    <n v="10000"/>
    <n v="10000"/>
    <n v="10000"/>
    <n v="10000"/>
    <n v="10000"/>
    <n v="10000"/>
    <m/>
    <m/>
    <n v="70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Рітейл Груп Україна"/>
    <n v="3500"/>
    <n v="3500"/>
    <n v="3500"/>
    <n v="3500"/>
    <n v="3500"/>
    <n v="3500"/>
    <n v="3500"/>
    <n v="3500"/>
    <n v="3500"/>
    <n v="3500"/>
    <n v="3500"/>
    <n v="3500"/>
    <n v="42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Рознет ТОВ"/>
    <n v="280"/>
    <n v="280"/>
    <n v="280"/>
    <n v="280"/>
    <n v="280"/>
    <n v="280"/>
    <n v="280"/>
    <n v="280"/>
    <n v="280"/>
    <n v="280"/>
    <n v="280"/>
    <n v="280"/>
    <n v="336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Салют ТД ПП"/>
    <n v="2100"/>
    <n v="2100"/>
    <n v="2100"/>
    <n v="3000"/>
    <n v="3000"/>
    <n v="3000"/>
    <n v="3000"/>
    <n v="3000"/>
    <n v="2100"/>
    <n v="2100"/>
    <n v="2100"/>
    <n v="2100"/>
    <n v="297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Союз Супермаркетов Харькова 000 (Харьков)"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Сфера ЧП"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ТС плюс"/>
    <m/>
    <m/>
    <n v="1300"/>
    <n v="1300"/>
    <n v="1300"/>
    <n v="1300"/>
    <n v="1300"/>
    <n v="1300"/>
    <n v="1300"/>
    <n v="1300"/>
    <n v="1300"/>
    <m/>
    <n v="117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Тулліус-Компані ПП"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Украинский Ритейл ООО (Брусниця)"/>
    <n v="11600"/>
    <n v="11600"/>
    <n v="14500"/>
    <n v="17500"/>
    <n v="17500"/>
    <n v="17500"/>
    <n v="17500"/>
    <n v="17500"/>
    <n v="14500"/>
    <n v="14500"/>
    <n v="14500"/>
    <n v="14500"/>
    <n v="1832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Укр-Трейд,ТОВ (м.Харків)"/>
    <n v="32000"/>
    <n v="32000"/>
    <n v="32000"/>
    <n v="32000"/>
    <n v="32000"/>
    <n v="32000"/>
    <n v="32000"/>
    <n v="32000"/>
    <n v="32000"/>
    <n v="32000"/>
    <n v="32000"/>
    <n v="32000"/>
    <n v="384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Фора"/>
    <m/>
    <m/>
    <n v="70000"/>
    <m/>
    <m/>
    <n v="70000"/>
    <m/>
    <m/>
    <n v="75000"/>
    <m/>
    <m/>
    <n v="80000"/>
    <n v="295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s v="ФУРШЕТ РЕГІОН ДП"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Расходы на трейд-маркетинг"/>
    <s v="Расходы на перевозку ларей"/>
    <s v="Национальные сети"/>
    <x v="2"/>
    <x v="14"/>
    <s v="Оплата за размещение в тт"/>
    <x v="81"/>
    <m/>
    <s v="Возврат ларей"/>
    <n v="2000"/>
    <n v="4000"/>
    <n v="5000"/>
    <n v="10000"/>
    <n v="10000"/>
    <n v="10000"/>
    <n v="10000"/>
    <n v="5000"/>
    <n v="20000"/>
    <n v="5000"/>
    <n v="3000"/>
    <n v="5000"/>
    <n v="89000"/>
  </r>
  <r>
    <x v="0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бсолют ТОВ ВКФ &quot;ЛІА&quot;  (Донецк)"/>
    <n v="1000"/>
    <n v="1000"/>
    <n v="1000"/>
    <n v="1000"/>
    <n v="3000"/>
    <n v="3000"/>
    <n v="3000"/>
    <n v="3000"/>
    <n v="1000"/>
    <n v="1000"/>
    <n v="1000"/>
    <n v="1000"/>
    <n v="2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бсолют ТОВ ВКФ &quot;ЛІА&quot;  (Киев)"/>
    <n v="3000"/>
    <n v="3000"/>
    <n v="3000"/>
    <n v="3000"/>
    <n v="3000"/>
    <n v="3000"/>
    <n v="3000"/>
    <n v="3000"/>
    <n v="3000"/>
    <n v="3000"/>
    <n v="3000"/>
    <n v="3000"/>
    <n v="36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двентіс"/>
    <m/>
    <m/>
    <m/>
    <m/>
    <n v="7500"/>
    <m/>
    <m/>
    <m/>
    <m/>
    <m/>
    <n v="7500"/>
    <n v="7500"/>
    <n v="225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льянс Маркет ТОВ"/>
    <n v="20208"/>
    <n v="16063"/>
    <n v="14665"/>
    <n v="21643"/>
    <n v="34457"/>
    <n v="26179"/>
    <n v="33101"/>
    <n v="27036"/>
    <n v="15116"/>
    <n v="13460"/>
    <n v="29913"/>
    <n v="21987"/>
    <n v="273828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мстор  Торгівельний будинок ТОВ"/>
    <n v="17938"/>
    <n v="12826"/>
    <n v="13118"/>
    <n v="18812"/>
    <n v="31822"/>
    <n v="45726"/>
    <n v="45200"/>
    <n v="20084"/>
    <n v="12392"/>
    <n v="12398"/>
    <n v="16038"/>
    <n v="12592"/>
    <n v="258946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ргон ТОВ"/>
    <m/>
    <m/>
    <m/>
    <m/>
    <m/>
    <m/>
    <m/>
    <m/>
    <m/>
    <m/>
    <m/>
    <m/>
    <n v="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рго-Р ТзОВ"/>
    <n v="900"/>
    <n v="700"/>
    <n v="700"/>
    <n v="900"/>
    <n v="1200"/>
    <n v="1800"/>
    <n v="900"/>
    <n v="900"/>
    <n v="1200"/>
    <n v="500"/>
    <n v="400"/>
    <n v="400"/>
    <n v="105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ТБ-маркет РЦ"/>
    <n v="220000"/>
    <n v="76434"/>
    <n v="80199"/>
    <n v="128069"/>
    <n v="275854"/>
    <n v="471631"/>
    <n v="230889"/>
    <n v="232344"/>
    <n v="133141"/>
    <n v="116967"/>
    <n v="139045"/>
    <n v="109078"/>
    <n v="2213651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Ашан Україна Гіпермаркет"/>
    <n v="48000"/>
    <n v="24000"/>
    <n v="24000"/>
    <m/>
    <n v="24000"/>
    <n v="24000"/>
    <n v="24000"/>
    <n v="24000"/>
    <n v="24000"/>
    <n v="24000"/>
    <m/>
    <n v="24000"/>
    <n v="264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Барвінок Торгова мережа (Барвінок)"/>
    <n v="1807"/>
    <n v="1807"/>
    <n v="1807"/>
    <n v="1807"/>
    <n v="3614"/>
    <n v="3614"/>
    <n v="3614"/>
    <n v="1807"/>
    <n v="1807"/>
    <n v="1807"/>
    <n v="1807"/>
    <n v="1807"/>
    <n v="27105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Білла-Україна"/>
    <n v="15000"/>
    <n v="15000"/>
    <n v="20300"/>
    <n v="30100"/>
    <n v="35000"/>
    <n v="50400"/>
    <n v="57400"/>
    <n v="50400"/>
    <n v="45500"/>
    <n v="32900"/>
    <n v="28700"/>
    <n v="28000"/>
    <n v="4087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Бімаркет (Чугуївський)"/>
    <n v="6000"/>
    <n v="5000"/>
    <n v="5500"/>
    <n v="5750"/>
    <n v="6000"/>
    <n v="11000"/>
    <n v="6000"/>
    <n v="11500"/>
    <n v="10000"/>
    <n v="7000"/>
    <n v="5500"/>
    <n v="5250"/>
    <n v="845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Вопак-Трейд"/>
    <n v="4000"/>
    <n v="4000"/>
    <n v="8000"/>
    <n v="10000"/>
    <n v="8000"/>
    <m/>
    <n v="20000"/>
    <n v="15000"/>
    <n v="13000"/>
    <n v="5000"/>
    <n v="4000"/>
    <n v="4000"/>
    <n v="95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Восторг ТОВ (м.Харків)"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Еко ТОВ"/>
    <n v="25000"/>
    <n v="25000"/>
    <n v="25000"/>
    <n v="50000"/>
    <n v="80000"/>
    <n v="80000"/>
    <n v="70000"/>
    <n v="70000"/>
    <n v="50000"/>
    <n v="30000"/>
    <n v="30000"/>
    <n v="30000"/>
    <n v="565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Континент-Торг (Свободи) (Континент)"/>
    <n v="15000"/>
    <n v="4000"/>
    <n v="6000"/>
    <n v="6000"/>
    <n v="7000"/>
    <n v="8000"/>
    <n v="8000"/>
    <n v="6000"/>
    <n v="5000"/>
    <n v="5000"/>
    <n v="5000"/>
    <n v="5000"/>
    <n v="8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Континіум-Трейд ТзОВ"/>
    <m/>
    <m/>
    <m/>
    <m/>
    <n v="1500"/>
    <m/>
    <m/>
    <n v="1500"/>
    <m/>
    <m/>
    <m/>
    <m/>
    <n v="3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Копейка-Р ТОВ"/>
    <n v="3600"/>
    <n v="3600"/>
    <n v="3600"/>
    <n v="3600"/>
    <n v="3600"/>
    <n v="3600"/>
    <n v="3600"/>
    <n v="3600"/>
    <n v="3600"/>
    <n v="3600"/>
    <n v="3600"/>
    <n v="3600"/>
    <n v="432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Край-2"/>
    <n v="8000"/>
    <n v="8000"/>
    <n v="8000"/>
    <n v="8000"/>
    <n v="8000"/>
    <n v="8000"/>
    <n v="8000"/>
    <n v="8000"/>
    <n v="8000"/>
    <n v="8000"/>
    <n v="8000"/>
    <n v="8000"/>
    <n v="96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Лелека ТД"/>
    <n v="1000"/>
    <n v="1000"/>
    <n v="1000"/>
    <n v="1500"/>
    <n v="1500"/>
    <n v="2000"/>
    <n v="2000"/>
    <n v="2000"/>
    <n v="1000"/>
    <n v="1000"/>
    <n v="1000"/>
    <n v="1000"/>
    <n v="16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Львівхолод ТзОВ ТВК"/>
    <m/>
    <m/>
    <n v="6500"/>
    <n v="6500"/>
    <n v="6500"/>
    <n v="6500"/>
    <n v="6500"/>
    <n v="6500"/>
    <n v="6500"/>
    <n v="6500"/>
    <n v="6500"/>
    <n v="6500"/>
    <n v="65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Маркет Рітейл ТОВ"/>
    <m/>
    <m/>
    <m/>
    <n v="4000"/>
    <n v="4000"/>
    <n v="4000"/>
    <n v="4000"/>
    <n v="2000"/>
    <n v="2000"/>
    <m/>
    <m/>
    <n v="4000"/>
    <n v="24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Мельник І.В.(Короленка 53,57)"/>
    <n v="2000"/>
    <n v="1000"/>
    <n v="1000"/>
    <n v="2000"/>
    <n v="2000"/>
    <n v="2000"/>
    <n v="1614"/>
    <n v="1170"/>
    <n v="843"/>
    <n v="1000"/>
    <n v="1000"/>
    <n v="1000"/>
    <n v="16627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Мельник О.С.(Воссоединения 5)"/>
    <n v="2835"/>
    <n v="1495"/>
    <n v="1756"/>
    <n v="2416"/>
    <n v="3017"/>
    <n v="3919"/>
    <n v="2000"/>
    <n v="2000"/>
    <n v="1000"/>
    <n v="1047"/>
    <n v="1525"/>
    <n v="2200"/>
    <n v="2521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МЕТРО кеш енд Кері Україна"/>
    <n v="0"/>
    <n v="0"/>
    <n v="0"/>
    <n v="0"/>
    <n v="0"/>
    <n v="0"/>
    <n v="0"/>
    <n v="0"/>
    <n v="0"/>
    <n v="0"/>
    <n v="0"/>
    <n v="0"/>
    <n v="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Новая Торговая Сеть ТП ООО (Харьков) Юля"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Новус Україна ТОВ"/>
    <n v="22000"/>
    <n v="22000"/>
    <n v="23800"/>
    <n v="30000"/>
    <n v="40000"/>
    <n v="45000"/>
    <n v="40000"/>
    <n v="35000"/>
    <n v="20000"/>
    <n v="18000"/>
    <n v="16000"/>
    <n v="18000"/>
    <n v="3298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Омега ООО (Варус)"/>
    <n v="20195"/>
    <n v="18000"/>
    <n v="18000"/>
    <n v="19000"/>
    <n v="20000"/>
    <n v="23000"/>
    <n v="30400"/>
    <n v="31000"/>
    <n v="31000"/>
    <n v="26600"/>
    <n v="28500"/>
    <n v="20600"/>
    <n v="286295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Рітейл Груп Україна"/>
    <n v="5000"/>
    <n v="5000"/>
    <n v="5000"/>
    <n v="5000"/>
    <n v="5000"/>
    <n v="5000"/>
    <n v="5000"/>
    <n v="5000"/>
    <n v="5000"/>
    <n v="5000"/>
    <n v="5000"/>
    <n v="7000"/>
    <n v="62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алют ТД ПП"/>
    <m/>
    <m/>
    <n v="1500"/>
    <n v="1500"/>
    <n v="1500"/>
    <n v="1500"/>
    <n v="1500"/>
    <n v="1500"/>
    <m/>
    <n v="1500"/>
    <m/>
    <n v="1500"/>
    <n v="12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пар Луганськ"/>
    <n v="75"/>
    <n v="75"/>
    <n v="75"/>
    <n v="75"/>
    <n v="150"/>
    <n v="150"/>
    <n v="150"/>
    <n v="150"/>
    <n v="75"/>
    <n v="75"/>
    <n v="75"/>
    <n v="75"/>
    <n v="12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ПАР-ЦЕНТР ООО"/>
    <n v="0"/>
    <n v="0"/>
    <n v="0"/>
    <n v="0"/>
    <n v="0"/>
    <n v="0"/>
    <n v="0"/>
    <n v="0"/>
    <n v="0"/>
    <n v="0"/>
    <n v="0"/>
    <n v="0"/>
    <n v="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Ужгород П.С.Ю. ТОВ"/>
    <m/>
    <m/>
    <m/>
    <m/>
    <m/>
    <m/>
    <n v="2000"/>
    <n v="2000"/>
    <n v="3000"/>
    <n v="2000"/>
    <n v="2000"/>
    <n v="4000"/>
    <n v="15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ТАМА ТОВ"/>
    <n v="4000"/>
    <n v="4000"/>
    <n v="4000"/>
    <n v="4000"/>
    <n v="8000"/>
    <n v="8000"/>
    <n v="4000"/>
    <n v="8000"/>
    <n v="4000"/>
    <n v="4000"/>
    <n v="4000"/>
    <n v="36000"/>
    <n v="92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учасний модерн ТОВ (Харьков)"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Сфера ЧП"/>
    <n v="282"/>
    <n v="316"/>
    <n v="238"/>
    <n v="308"/>
    <n v="184"/>
    <n v="489"/>
    <n v="572"/>
    <n v="422"/>
    <n v="216"/>
    <n v="339"/>
    <n v="131"/>
    <n v="400"/>
    <n v="3897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Таврія Плюс"/>
    <n v="3500"/>
    <n v="3500"/>
    <n v="3500"/>
    <n v="3500"/>
    <n v="3500"/>
    <n v="3500"/>
    <n v="3500"/>
    <n v="3500"/>
    <n v="3500"/>
    <n v="3500"/>
    <n v="3500"/>
    <n v="3500"/>
    <n v="42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ТС плюс"/>
    <n v="700"/>
    <n v="700"/>
    <n v="1300"/>
    <n v="700"/>
    <n v="1300"/>
    <n v="700"/>
    <n v="1300"/>
    <n v="700"/>
    <n v="1300"/>
    <n v="700"/>
    <n v="700"/>
    <n v="900"/>
    <n v="11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Тулліус-Компані ПП"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Украинский Ритейл ООО (Брусниця)"/>
    <n v="11147"/>
    <n v="8502"/>
    <n v="8072"/>
    <n v="14357"/>
    <n v="17756"/>
    <n v="17888"/>
    <n v="20170"/>
    <n v="17473"/>
    <n v="10508"/>
    <n v="9071"/>
    <n v="7118"/>
    <n v="7973"/>
    <n v="150035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Укр-Трейд,ТОВ (м.Харків)"/>
    <n v="1000"/>
    <n v="1000"/>
    <n v="1000"/>
    <n v="1000"/>
    <n v="1000"/>
    <n v="1000"/>
    <n v="1000"/>
    <n v="1000"/>
    <n v="1000"/>
    <n v="1000"/>
    <n v="1000"/>
    <n v="1000"/>
    <n v="12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Фоззі-Фуд РЦ (пельмени)"/>
    <m/>
    <m/>
    <m/>
    <n v="150000"/>
    <n v="150000"/>
    <n v="150000"/>
    <n v="150000"/>
    <n v="100000"/>
    <m/>
    <m/>
    <m/>
    <m/>
    <n v="70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Фора"/>
    <n v="30724"/>
    <n v="26070"/>
    <n v="34065"/>
    <n v="34415"/>
    <n v="64716"/>
    <n v="62271"/>
    <n v="62409"/>
    <n v="54061"/>
    <n v="30298"/>
    <n v="33947"/>
    <n v="28663"/>
    <n v="24481"/>
    <n v="48612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Фудмаркет ТОВ"/>
    <n v="30000"/>
    <n v="30000"/>
    <n v="50000"/>
    <n v="135000"/>
    <n v="60000"/>
    <n v="35000"/>
    <n v="50000"/>
    <n v="135000"/>
    <n v="45000"/>
    <n v="45000"/>
    <n v="50000"/>
    <n v="135000"/>
    <n v="800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Фуршет Центр ДП"/>
    <m/>
    <n v="150000"/>
    <m/>
    <n v="150000"/>
    <m/>
    <n v="150000"/>
    <m/>
    <n v="153000"/>
    <m/>
    <m/>
    <m/>
    <m/>
    <n v="603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Шереметьев О.Є."/>
    <m/>
    <m/>
    <m/>
    <n v="1500"/>
    <n v="1000"/>
    <n v="1500"/>
    <m/>
    <m/>
    <n v="1500"/>
    <m/>
    <m/>
    <n v="1500"/>
    <n v="7000"/>
  </r>
  <r>
    <x v="0"/>
    <x v="0"/>
    <x v="1"/>
    <s v="Расходы на трейд-маркетинг"/>
    <s v="Транши по сетям"/>
    <s v="Национальные сети"/>
    <x v="2"/>
    <x v="14"/>
    <s v="Транши по сетям"/>
    <x v="84"/>
    <m/>
    <s v="Экспансия ООО Киев"/>
    <n v="14287"/>
    <n v="13477"/>
    <n v="12693"/>
    <n v="20775"/>
    <n v="30933"/>
    <n v="17809"/>
    <n v="31683"/>
    <n v="21140"/>
    <n v="10862"/>
    <n v="11728"/>
    <n v="9889"/>
    <n v="18673"/>
    <n v="213949"/>
  </r>
  <r>
    <x v="0"/>
    <x v="0"/>
    <x v="1"/>
    <s v="Расходы на трейд-маркетинг"/>
    <s v="Трейд-маркетинг"/>
    <s v="Национальные сети"/>
    <x v="2"/>
    <x v="14"/>
    <s v="Трейд-маркетинг"/>
    <x v="54"/>
    <m/>
    <m/>
    <m/>
    <m/>
    <m/>
    <m/>
    <m/>
    <m/>
    <m/>
    <m/>
    <m/>
    <m/>
    <m/>
    <m/>
    <n v="0"/>
  </r>
  <r>
    <x v="0"/>
    <x v="0"/>
    <x v="1"/>
    <s v="Расходы на трейд-маркетинг"/>
    <s v="Трейд-маркетинг"/>
    <s v="Национальные сети"/>
    <x v="2"/>
    <x v="14"/>
    <s v="Трейд-маркетинг"/>
    <x v="85"/>
    <m/>
    <m/>
    <n v="30000"/>
    <n v="30000"/>
    <n v="30000"/>
    <n v="30000"/>
    <n v="30000"/>
    <n v="30000"/>
    <n v="30000"/>
    <n v="30000"/>
    <n v="30000"/>
    <n v="30000"/>
    <n v="30000"/>
    <n v="30000"/>
    <n v="360000"/>
  </r>
  <r>
    <x v="0"/>
    <x v="0"/>
    <x v="1"/>
    <s v="Продажи"/>
    <s v="Расходы на услуги сторонних организаций"/>
    <s v="Национальные сети"/>
    <x v="2"/>
    <x v="8"/>
    <s v="Расходы на услуги сторонних организаций"/>
    <x v="47"/>
    <m/>
    <m/>
    <m/>
    <m/>
    <m/>
    <m/>
    <m/>
    <m/>
    <m/>
    <m/>
    <m/>
    <m/>
    <m/>
    <m/>
    <n v="0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бсолют ТОВ ВКФ &quot;ЛІА&quot;  (Донецк)"/>
    <n v="1787.0740016166653"/>
    <n v="1944.4903735097655"/>
    <n v="2271.3383344497488"/>
    <n v="3054.6739190407402"/>
    <n v="5250.4302191607867"/>
    <n v="6022.0946637365378"/>
    <n v="5250.0869660434673"/>
    <n v="4348.420274619999"/>
    <n v="2520.244537411887"/>
    <n v="1965.1407441241133"/>
    <n v="1928.5236783704959"/>
    <n v="2082.1757892966957"/>
    <n v="38424.69350138089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бсолют ТОВ ВКФ &quot;ЛІА&quot;  (Киев)"/>
    <n v="1450"/>
    <n v="1972"/>
    <n v="2507"/>
    <n v="3082"/>
    <n v="5799"/>
    <n v="4872"/>
    <n v="5073"/>
    <n v="3802"/>
    <n v="1920"/>
    <n v="2155"/>
    <n v="2071"/>
    <n v="2014"/>
    <n v="36717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двентіс"/>
    <n v="11935"/>
    <n v="14429"/>
    <n v="18517"/>
    <n v="23547"/>
    <n v="31279"/>
    <n v="20700"/>
    <n v="25080"/>
    <n v="22763"/>
    <n v="21500"/>
    <n v="23664.486625553891"/>
    <n v="23031.846178082273"/>
    <n v="24664.964088793029"/>
    <n v="261111.2968924292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льянс Маркет ТОВ"/>
    <n v="23576"/>
    <n v="18740"/>
    <n v="17709"/>
    <n v="25250"/>
    <n v="40200"/>
    <n v="30542"/>
    <n v="38618"/>
    <n v="31542"/>
    <n v="17635"/>
    <n v="15704"/>
    <n v="34800"/>
    <n v="25651"/>
    <n v="319967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мстор  Торгівельний будинок ТОВ"/>
    <n v="16307"/>
    <n v="11660"/>
    <n v="11926"/>
    <n v="17102"/>
    <n v="28929"/>
    <n v="41569"/>
    <n v="32696"/>
    <n v="18258"/>
    <n v="11266"/>
    <n v="11271"/>
    <n v="14580"/>
    <n v="11447"/>
    <n v="22701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ргон ТОВ"/>
    <n v="3195"/>
    <n v="2314"/>
    <n v="3442"/>
    <n v="6098"/>
    <n v="9691"/>
    <n v="9122"/>
    <n v="11794"/>
    <n v="10103"/>
    <n v="3615"/>
    <n v="3040"/>
    <n v="2682"/>
    <n v="2966"/>
    <n v="68062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рго-Р ТзОВ"/>
    <n v="296.17295939195162"/>
    <n v="313.35507359676149"/>
    <n v="387.68548198114951"/>
    <n v="624.47140958848297"/>
    <n v="1238.2422002406718"/>
    <n v="1428.795980383306"/>
    <n v="1240.8920714048322"/>
    <n v="968.01236284888557"/>
    <n v="800"/>
    <n v="700"/>
    <n v="900"/>
    <n v="500"/>
    <n v="9397.627539436041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ТБ-маркет РЦ"/>
    <n v="273189"/>
    <n v="899800"/>
    <n v="328012"/>
    <n v="523801"/>
    <n v="1128242"/>
    <n v="1928970"/>
    <n v="944337"/>
    <n v="950288"/>
    <n v="544547"/>
    <n v="478393"/>
    <n v="568694"/>
    <n v="446128"/>
    <n v="901440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шан Україна Гіпермаркет"/>
    <n v="20598"/>
    <n v="21210"/>
    <n v="28072"/>
    <n v="36539"/>
    <n v="47529"/>
    <n v="46322"/>
    <n v="51531"/>
    <n v="43472"/>
    <n v="13876"/>
    <n v="15183"/>
    <n v="16371"/>
    <n v="17543"/>
    <n v="35824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Барвінок Торгова мережа (Барвінок)"/>
    <n v="4543"/>
    <n v="6241"/>
    <n v="4057"/>
    <n v="4703"/>
    <n v="9799"/>
    <n v="6126"/>
    <n v="6480"/>
    <n v="5395"/>
    <n v="4518"/>
    <n v="3775"/>
    <n v="5107"/>
    <n v="4319.9867629553501"/>
    <n v="65063.98676295534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Білла-Україна"/>
    <n v="25323"/>
    <n v="37485"/>
    <n v="27465"/>
    <n v="45424"/>
    <n v="54082"/>
    <n v="38790"/>
    <n v="59855"/>
    <n v="45641"/>
    <n v="37429.093912909651"/>
    <n v="21567"/>
    <n v="57041"/>
    <n v="19856"/>
    <n v="469958.09391290962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Бімаркет (Чугуївський)"/>
    <n v="4464"/>
    <n v="5780"/>
    <n v="6483"/>
    <n v="8441.7929226252636"/>
    <n v="7661"/>
    <n v="12285"/>
    <n v="8473"/>
    <n v="8276"/>
    <n v="6592"/>
    <n v="4773"/>
    <n v="4865"/>
    <n v="4835"/>
    <n v="82928.7929226252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Вест Лайн Маркет"/>
    <n v="1328"/>
    <n v="1229"/>
    <n v="1613"/>
    <n v="3366"/>
    <n v="3403"/>
    <n v="3147"/>
    <n v="3363"/>
    <n v="2033"/>
    <n v="1091"/>
    <n v="1226"/>
    <n v="1247"/>
    <n v="1491"/>
    <n v="24537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Вопак-Трейд"/>
    <n v="19500"/>
    <n v="24000"/>
    <n v="41600"/>
    <n v="41511"/>
    <n v="3500"/>
    <n v="43523"/>
    <n v="52000"/>
    <n v="49000"/>
    <n v="31689"/>
    <n v="38082"/>
    <n v="31530"/>
    <n v="31484"/>
    <n v="407419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Восторг ТОВ (м.Харків)"/>
    <n v="1164.4286588743623"/>
    <n v="1430"/>
    <n v="1466.1291540715586"/>
    <n v="1834.2842429491716"/>
    <n v="2934.3313435461318"/>
    <n v="3354.1661391300581"/>
    <n v="2935.0153244751414"/>
    <n v="2511.8992400152579"/>
    <n v="1599.3186132354654"/>
    <n v="1311.3336624082501"/>
    <n v="1284.4487967596733"/>
    <n v="1384.9260966902511"/>
    <n v="23210.28127215532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Еко ТОВ"/>
    <n v="47236"/>
    <n v="56135"/>
    <n v="45533"/>
    <n v="76258"/>
    <n v="135410"/>
    <n v="117324"/>
    <n v="148916"/>
    <n v="95043"/>
    <n v="46151"/>
    <n v="40904"/>
    <n v="58476"/>
    <n v="38137"/>
    <n v="905523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Імбекс Плюс"/>
    <n v="823.40021894481924"/>
    <n v="944.21550888193315"/>
    <n v="1034.2809126031966"/>
    <n v="1132.6251205109645"/>
    <n v="1553.1708346564099"/>
    <n v="1759.9367821192409"/>
    <n v="1607.7259146689651"/>
    <n v="1498.3286540545196"/>
    <n v="1164.2151667830287"/>
    <n v="1021.9803433858237"/>
    <n v="990.8704415068953"/>
    <n v="1056.7740516935423"/>
    <n v="14587.52394980934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Континент-Торг (Свободи) (Континент)"/>
    <n v="1683.8628011338865"/>
    <n v="1900.4604245540256"/>
    <n v="2149.3066765318404"/>
    <n v="2688.2879865635641"/>
    <n v="4335.5992505053337"/>
    <n v="4955.9327087036982"/>
    <n v="4450.2861993567913"/>
    <n v="3836.3712298428686"/>
    <n v="2490.7287877695298"/>
    <n v="2022.5429007985574"/>
    <n v="1965.2483538177312"/>
    <n v="2098.6139576649457"/>
    <n v="34577.24127724277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Континіум-Трейд ТзОВ"/>
    <n v="337.74312717357554"/>
    <n v="371.99799193128507"/>
    <n v="421.06223664995809"/>
    <n v="498.67532372400609"/>
    <n v="747.9837503968015"/>
    <n v="852.29937612998901"/>
    <n v="742.97754772715621"/>
    <n v="653.69928716232721"/>
    <n v="446.75890686091992"/>
    <n v="380.63397628723584"/>
    <n v="373.09505747067647"/>
    <n v="402.87716181492681"/>
    <n v="6229.8037433288573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Копейка-Р ТОВ"/>
    <n v="822"/>
    <n v="748"/>
    <n v="714"/>
    <n v="1665"/>
    <n v="3585"/>
    <n v="2153"/>
    <n v="3512"/>
    <n v="1801"/>
    <n v="851"/>
    <n v="399"/>
    <n v="540"/>
    <n v="1026"/>
    <n v="1781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Край-2"/>
    <n v="7224"/>
    <n v="6601"/>
    <n v="6340.8540715845566"/>
    <n v="11096"/>
    <n v="12049"/>
    <n v="14083"/>
    <n v="17122"/>
    <n v="8768"/>
    <n v="5266"/>
    <n v="4338"/>
    <n v="5374.2651954041703"/>
    <n v="5820.8687245428446"/>
    <n v="104082.98799153157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Лелека ТД"/>
    <n v="355"/>
    <n v="596"/>
    <n v="1044"/>
    <n v="1108"/>
    <n v="1619"/>
    <n v="2465"/>
    <n v="2076"/>
    <n v="741"/>
    <n v="514"/>
    <n v="427"/>
    <n v="515"/>
    <n v="413"/>
    <n v="11873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Львівхолод ТзОВ ТВК"/>
    <n v="2724.4396503733278"/>
    <n v="3098.0128472587744"/>
    <n v="3457.9364109738008"/>
    <n v="4115.0240492274124"/>
    <n v="3800"/>
    <n v="5083"/>
    <n v="7479"/>
    <n v="5730.2006573022036"/>
    <n v="3973.4337461758355"/>
    <n v="2546"/>
    <n v="3226.9105885137701"/>
    <n v="3442.6786401537729"/>
    <n v="48676.636589978894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Маркет Рітейл ТОВ"/>
    <n v="2250.0255191998654"/>
    <n v="2271.843622787298"/>
    <n v="2806.6628463174716"/>
    <n v="4115.754229658959"/>
    <n v="7508.6625354207908"/>
    <n v="8640.7659947668853"/>
    <n v="7169.2166182887249"/>
    <n v="5644.3862303947235"/>
    <n v="2748.9565078703149"/>
    <n v="2025.9068401898305"/>
    <n v="2041.6458139352189"/>
    <n v="2269.5875574971283"/>
    <n v="49493.414316327209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МДАЧА ТОВ"/>
    <n v="66.379745646126736"/>
    <n v="71.560893249416694"/>
    <n v="85.066118061861957"/>
    <n v="121.23095567641123"/>
    <n v="219.23745434850846"/>
    <n v="252.02667886809172"/>
    <n v="219.2237760075011"/>
    <n v="177.56558945609055"/>
    <n v="95.809503529578635"/>
    <n v="71.509156222269169"/>
    <n v="70.292176822904068"/>
    <n v="75.976970068755733"/>
    <n v="1525.87901795751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Мельник І.В.(Короленка 53,57)"/>
    <n v="5525"/>
    <n v="2851"/>
    <n v="3150"/>
    <n v="5047"/>
    <n v="5734"/>
    <n v="6764"/>
    <n v="4131"/>
    <n v="3623"/>
    <n v="2106"/>
    <n v="2339"/>
    <n v="2885"/>
    <n v="3657"/>
    <n v="47812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МЕТРО кеш енд Кері Україна"/>
    <n v="44621"/>
    <n v="29850"/>
    <n v="29660"/>
    <n v="64727"/>
    <n v="56703"/>
    <n v="59461"/>
    <n v="71910"/>
    <n v="66840"/>
    <n v="40567"/>
    <n v="40069"/>
    <n v="23720"/>
    <n v="34847"/>
    <n v="562975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Новая Торговая Сеть ТП ООО (Харьков) Юля"/>
    <n v="3238"/>
    <n v="3577"/>
    <n v="4276"/>
    <n v="6860"/>
    <n v="5943"/>
    <n v="9341.6765412042078"/>
    <n v="8399.3689703193595"/>
    <n v="7441.7828664423214"/>
    <n v="5173.8257402180643"/>
    <n v="4351.5546861469129"/>
    <n v="4229.6345209761903"/>
    <n v="4521.1586975107184"/>
    <n v="67353.002022817775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Новус Україна ТОВ"/>
    <n v="16686"/>
    <n v="15015"/>
    <n v="17083"/>
    <n v="20938"/>
    <n v="29728"/>
    <n v="22455"/>
    <n v="23098"/>
    <n v="21083"/>
    <n v="11615"/>
    <n v="14334"/>
    <n v="16076.55413150666"/>
    <n v="17289.550433084758"/>
    <n v="225401.1045645914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Омега ООО (Варус)"/>
    <n v="22947"/>
    <n v="31720"/>
    <n v="24878"/>
    <n v="38672"/>
    <n v="32697"/>
    <n v="35637"/>
    <n v="43554"/>
    <n v="31285"/>
    <n v="10760"/>
    <n v="11352"/>
    <n v="7087"/>
    <n v="9987"/>
    <n v="30057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Рітейл Груп Україна"/>
    <n v="5795"/>
    <n v="3916"/>
    <n v="5740.6150025085253"/>
    <n v="7545"/>
    <n v="10363"/>
    <n v="12207.173336802251"/>
    <n v="10638"/>
    <n v="9681.2922512005007"/>
    <n v="7436"/>
    <n v="5488.305603979994"/>
    <n v="3662"/>
    <n v="3600"/>
    <n v="86072.386194491279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Рознет ТОВ"/>
    <n v="102.03176403017582"/>
    <n v="90.339508468130973"/>
    <n v="123.85833502606029"/>
    <n v="209.0427983906317"/>
    <n v="414.35702204983829"/>
    <n v="478.80745670612487"/>
    <n v="375.15965814307538"/>
    <n v="275.01505897307538"/>
    <n v="95.853232694612998"/>
    <n v="59.727476088932207"/>
    <n v="64.847329049064598"/>
    <n v="77.595147335702492"/>
    <n v="2366.6347869554252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Союз Супермаркетов Харькова 000 (Харьков)"/>
    <n v="1449.7234390118765"/>
    <n v="1659.0806920128941"/>
    <n v="1833.3608167511968"/>
    <n v="2099.5693313582979"/>
    <n v="3061.0857205267716"/>
    <n v="3480.4883159965375"/>
    <n v="3169.6930714059527"/>
    <n v="2870.1835938120953"/>
    <n v="2098.145233920241"/>
    <n v="1793.9133009395564"/>
    <n v="1738.9736655841132"/>
    <n v="1853.3940769202436"/>
    <n v="27107.61125823977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СПАР-ЦЕНТР ООО"/>
    <m/>
    <m/>
    <m/>
    <m/>
    <m/>
    <m/>
    <m/>
    <m/>
    <m/>
    <m/>
    <m/>
    <m/>
    <n v="0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СТАМА ТОВ"/>
    <n v="12464.0589320051"/>
    <n v="15956"/>
    <n v="12919"/>
    <n v="18435.76445695091"/>
    <n v="19465"/>
    <n v="31620.579503852368"/>
    <n v="27338.167636964477"/>
    <n v="23940.486459500509"/>
    <n v="16172.369526240853"/>
    <n v="15952"/>
    <n v="12919"/>
    <n v="19605"/>
    <n v="226787.4265155142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Сфера ЧП"/>
    <n v="704"/>
    <n v="790"/>
    <n v="595"/>
    <n v="769"/>
    <n v="461"/>
    <n v="1222"/>
    <n v="1429"/>
    <n v="1053.1740760749842"/>
    <n v="540"/>
    <n v="847"/>
    <n v="328"/>
    <n v="1085"/>
    <n v="9823.1740760749854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Таврія Плюс"/>
    <n v="1819"/>
    <n v="1961"/>
    <n v="1926"/>
    <n v="3623"/>
    <n v="5698"/>
    <n v="4342"/>
    <n v="4569"/>
    <n v="4102"/>
    <n v="1526"/>
    <n v="1745"/>
    <n v="2059"/>
    <n v="1798"/>
    <n v="3516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ТС плюс"/>
    <n v="629"/>
    <n v="324"/>
    <n v="388"/>
    <n v="560"/>
    <n v="926"/>
    <n v="652"/>
    <n v="820"/>
    <n v="603"/>
    <n v="299"/>
    <n v="371"/>
    <n v="262"/>
    <n v="347"/>
    <n v="618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Украинский Ритейл ООО (Брусниця)"/>
    <n v="29261"/>
    <n v="22317"/>
    <n v="21190"/>
    <n v="37687"/>
    <n v="46609"/>
    <n v="46955"/>
    <n v="52946"/>
    <n v="45866"/>
    <n v="27582"/>
    <n v="23810"/>
    <n v="18685"/>
    <n v="20930"/>
    <n v="393838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Фоззі-Фуд РЦ (пельмени)"/>
    <n v="292007"/>
    <n v="408382"/>
    <n v="353180"/>
    <n v="290030"/>
    <n v="548710"/>
    <n v="519563"/>
    <n v="485067"/>
    <n v="382485"/>
    <n v="364636"/>
    <n v="279095"/>
    <n v="277426"/>
    <n v="395825"/>
    <n v="459640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Фора"/>
    <n v="44961"/>
    <n v="38151"/>
    <n v="49851"/>
    <n v="50364"/>
    <n v="94707"/>
    <n v="91129"/>
    <n v="91330"/>
    <n v="79113"/>
    <n v="44338"/>
    <n v="49678"/>
    <n v="41946"/>
    <n v="35826"/>
    <n v="711394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Фудмаркет ТОВ"/>
    <n v="75199"/>
    <n v="69302"/>
    <n v="78554"/>
    <n v="124854"/>
    <n v="176269"/>
    <n v="125139"/>
    <n v="145464"/>
    <n v="90875"/>
    <n v="62789"/>
    <n v="35186"/>
    <n v="27142"/>
    <n v="54933"/>
    <n v="1065706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Фуршет Центр ДП"/>
    <n v="32780"/>
    <n v="37358"/>
    <n v="41121"/>
    <n v="59171"/>
    <n v="74058"/>
    <n v="66199"/>
    <n v="79244"/>
    <n v="60378"/>
    <n v="29693"/>
    <n v="26991"/>
    <n v="26215"/>
    <n v="32329"/>
    <n v="565537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Шереметьев О.Є."/>
    <n v="3836.0365496051845"/>
    <n v="4291.5127330044243"/>
    <n v="2930"/>
    <n v="4816"/>
    <n v="7356"/>
    <n v="11657.311578349092"/>
    <n v="8235"/>
    <n v="8864.3340919278435"/>
    <n v="3000"/>
    <n v="4512.2973075969358"/>
    <n v="4394.5656053297298"/>
    <n v="4704.9357285968645"/>
    <n v="68597.993594410073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Экспансия ООО Киев"/>
    <n v="23812"/>
    <n v="22461"/>
    <n v="21154"/>
    <n v="34625"/>
    <n v="51556"/>
    <n v="29681"/>
    <n v="52806"/>
    <n v="35233"/>
    <n v="18104"/>
    <n v="19546"/>
    <n v="16482"/>
    <n v="31121"/>
    <n v="35658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тлантік Буд"/>
    <n v="300.2093077754277"/>
    <n v="329.17029958879965"/>
    <n v="391.64238551233825"/>
    <n v="579.29142130577384"/>
    <n v="1085.1502059879992"/>
    <n v="1248.9973759740187"/>
    <n v="1103.1959551211705"/>
    <n v="887.84765564974532"/>
    <n v="468.81782623341974"/>
    <n v="338.67699550797545"/>
    <n v="330.70607661601321"/>
    <n v="354.44195412870283"/>
    <n v="7418.1474594013835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Вест Лайн ТД"/>
    <n v="0"/>
    <n v="0"/>
    <n v="0"/>
    <n v="0"/>
    <n v="0"/>
    <n v="0"/>
    <n v="0"/>
    <n v="0"/>
    <n v="0"/>
    <n v="0"/>
    <n v="0"/>
    <n v="0"/>
    <n v="0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АЛЬФА-РИТЕЙЛ  ООО (Харьков)"/>
    <n v="5100.6260403226561"/>
    <n v="5658.5309503186854"/>
    <n v="6346.2513220439878"/>
    <n v="7282.2183604863185"/>
    <n v="10513.247017088879"/>
    <n v="11954.280561157855"/>
    <n v="10480.252853410455"/>
    <n v="9406.8876835204192"/>
    <n v="6739.4866219786672"/>
    <n v="5845.7690066143787"/>
    <n v="5720.1864399279712"/>
    <n v="6166.249753211031"/>
    <n v="91213.986610081309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Салют ТД ПП"/>
    <n v="467.06854759631142"/>
    <n v="487.51495208241892"/>
    <n v="632.02378989377462"/>
    <n v="1164.9021468773435"/>
    <n v="2510.9127296388388"/>
    <n v="2906.1096931793145"/>
    <n v="2534.5199628064106"/>
    <n v="1920.9023973148614"/>
    <n v="797.39964093042965"/>
    <n v="471.3264612579311"/>
    <n v="464.52816582735352"/>
    <n v="501.15395844122094"/>
    <n v="14858.362445846209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Тулліус-Компані ПП"/>
    <n v="93.036414018812238"/>
    <n v="93.663771285775084"/>
    <n v="116.04896046436016"/>
    <n v="171.19440616692341"/>
    <n v="313.70069527515955"/>
    <n v="361.0708027821135"/>
    <n v="299.2488769013446"/>
    <n v="235.00466341027627"/>
    <n v="113.33884192425313"/>
    <n v="83.08907255502757"/>
    <n v="83.828292784641903"/>
    <n v="93.293806362617843"/>
    <n v="2056.5186039313053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Ужгород П.С.Ю. ТОВ"/>
    <n v="107.96026928612764"/>
    <n v="117.12786918953378"/>
    <n v="132.4576598948276"/>
    <n v="150.12278182132616"/>
    <n v="211.12602168303488"/>
    <n v="239.83064161403715"/>
    <n v="203.82498994734905"/>
    <n v="183.2615511405931"/>
    <n v="131.76487995714334"/>
    <n v="116.77079672766413"/>
    <n v="115.14655134912215"/>
    <n v="125.28658418800204"/>
    <n v="1834.6805967987611"/>
  </r>
  <r>
    <x v="0"/>
    <x v="2"/>
    <x v="1"/>
    <s v="Расходы по торговым точкам"/>
    <s v="Ретро-бонусы"/>
    <s v="Национальные сети"/>
    <x v="2"/>
    <x v="23"/>
    <s v="Ретро-бонусы"/>
    <x v="86"/>
    <m/>
    <s v="Юль Соф ТзОВ"/>
    <n v="302.3070804805742"/>
    <n v="353.50483628559277"/>
    <n v="382.73782758963637"/>
    <n v="412.49244548349981"/>
    <n v="557.36702542194212"/>
    <n v="630.76615020280326"/>
    <n v="591.89488381768331"/>
    <n v="559.77907936491874"/>
    <n v="447.89360562064962"/>
    <n v="392.82262881683329"/>
    <n v="378.90685489060229"/>
    <n v="401.60437827418514"/>
    <n v="5412.0767962489217"/>
  </r>
  <r>
    <x v="0"/>
    <x v="0"/>
    <x v="1"/>
    <s v="Продажи"/>
    <s v="Услуги связи"/>
    <s v="Национальные сети"/>
    <x v="2"/>
    <x v="4"/>
    <s v="Услуги связи"/>
    <x v="13"/>
    <s v="Бака Лілія Олексіївна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Национальные сети"/>
    <x v="2"/>
    <x v="4"/>
    <s v="Услуги связи"/>
    <x v="13"/>
    <s v="Білик Дмитро Вікто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Национальные сети"/>
    <x v="2"/>
    <x v="4"/>
    <s v="Услуги связи"/>
    <x v="13"/>
    <s v="Білоус Іван Пет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Национальные сети"/>
    <x v="2"/>
    <x v="4"/>
    <s v="Услуги связи"/>
    <x v="13"/>
    <s v="Жук Олена Миколаївна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Национальные сети"/>
    <x v="2"/>
    <x v="4"/>
    <s v="Услуги связи"/>
    <x v="13"/>
    <s v="Савін Олексій Леонід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Национальные сети"/>
    <x v="2"/>
    <x v="4"/>
    <s v="Услуги связи"/>
    <x v="13"/>
    <s v="Старовойтов Юрій Олександ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Зарплата"/>
    <s v="Одесса"/>
    <x v="2"/>
    <x v="0"/>
    <s v="Зарплата"/>
    <x v="0"/>
    <m/>
    <m/>
    <n v="46100"/>
    <n v="46100"/>
    <n v="46100"/>
    <n v="46100"/>
    <n v="52500"/>
    <n v="52500"/>
    <n v="52500"/>
    <n v="52500"/>
    <n v="52500"/>
    <n v="46100"/>
    <n v="46100"/>
    <n v="46100"/>
    <n v="585200"/>
  </r>
  <r>
    <x v="0"/>
    <x v="0"/>
    <x v="1"/>
    <s v="Продажи"/>
    <s v="Командировочные расходы"/>
    <s v="Одесса"/>
    <x v="2"/>
    <x v="1"/>
    <s v="Командировочные расходы"/>
    <x v="1"/>
    <s v="Бекшанова Юлія Володимирівна"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Расходы на канцтовары и обслуживание оргтехники"/>
    <s v="Одесса"/>
    <x v="2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1"/>
    <s v="Продажи"/>
    <s v="Расходы на налоги"/>
    <s v="Одесса"/>
    <x v="2"/>
    <x v="3"/>
    <s v="Расходы на налоги"/>
    <x v="12"/>
    <m/>
    <m/>
    <n v="4724.83"/>
    <n v="4724.83"/>
    <n v="4724.83"/>
    <n v="4724.83"/>
    <n v="5748.77"/>
    <n v="5748.77"/>
    <n v="5748.77"/>
    <n v="5748.77"/>
    <n v="5748.77"/>
    <n v="4724.83"/>
    <n v="4724.83"/>
    <n v="4724.83"/>
    <n v="61817.660000000018"/>
  </r>
  <r>
    <x v="0"/>
    <x v="0"/>
    <x v="1"/>
    <s v="Продажи"/>
    <s v="Расходы на персонал"/>
    <s v="Одесса"/>
    <x v="2"/>
    <x v="7"/>
    <s v="Расходы на персонал"/>
    <x v="29"/>
    <s v="Бекшанова Юлія Володимирівна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Одесса"/>
    <x v="2"/>
    <x v="7"/>
    <s v="Расходы на персонал"/>
    <x v="29"/>
    <s v="Филимонов Костянтин Васильович"/>
    <m/>
    <n v="1200"/>
    <n v="1200"/>
    <n v="1200"/>
    <n v="1200"/>
    <n v="1200"/>
    <n v="1200"/>
    <n v="1200"/>
    <n v="1200"/>
    <n v="1200"/>
    <n v="1200"/>
    <n v="1200"/>
    <n v="1200"/>
    <n v="14400"/>
  </r>
  <r>
    <x v="0"/>
    <x v="0"/>
    <x v="1"/>
    <s v="Продажи"/>
    <s v="Расходы на персонал"/>
    <s v="Одесса"/>
    <x v="2"/>
    <x v="7"/>
    <s v="Расходы на персонал"/>
    <x v="26"/>
    <s v="Алексеєва Анжеліка Сергіївна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Одесса"/>
    <x v="2"/>
    <x v="7"/>
    <s v="Расходы на персонал"/>
    <x v="26"/>
    <s v="Аскерова Наталія Василівна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Одесса"/>
    <x v="2"/>
    <x v="7"/>
    <s v="Расходы на персонал"/>
    <x v="26"/>
    <s v="Грачова Єлизавета Мойсеєвна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Одесса"/>
    <x v="2"/>
    <x v="7"/>
    <s v="Расходы на персонал"/>
    <x v="26"/>
    <s v="Полянська Яніна Володимирівна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Одесса"/>
    <x v="2"/>
    <x v="7"/>
    <s v="Расходы на персонал"/>
    <x v="26"/>
    <s v="Попов Ігор Станіславович"/>
    <m/>
    <n v="600"/>
    <n v="600"/>
    <n v="600"/>
    <n v="600"/>
    <n v="600"/>
    <n v="600"/>
    <n v="600"/>
    <n v="600"/>
    <n v="600"/>
    <n v="600"/>
    <n v="600"/>
    <n v="600"/>
    <n v="7200"/>
  </r>
  <r>
    <x v="0"/>
    <x v="0"/>
    <x v="1"/>
    <s v="Продажи"/>
    <s v="Расходы на персонал"/>
    <s v="Одесса"/>
    <x v="2"/>
    <x v="7"/>
    <s v="Расходы на персонал"/>
    <x v="26"/>
    <m/>
    <m/>
    <m/>
    <m/>
    <m/>
    <m/>
    <n v="600"/>
    <n v="600"/>
    <n v="600"/>
    <n v="600"/>
    <n v="600"/>
    <n v="600"/>
    <n v="600"/>
    <n v="600"/>
    <n v="4800"/>
  </r>
  <r>
    <x v="0"/>
    <x v="2"/>
    <x v="1"/>
    <s v="Продажи"/>
    <s v="Расходы на списание"/>
    <s v="Одесса"/>
    <x v="2"/>
    <x v="22"/>
    <s v="Расходы на списание"/>
    <x v="73"/>
    <m/>
    <m/>
    <n v="4728"/>
    <n v="4900"/>
    <n v="6600"/>
    <n v="7050"/>
    <n v="26370"/>
    <n v="14500"/>
    <n v="11600"/>
    <n v="9300"/>
    <n v="4200"/>
    <n v="4200"/>
    <n v="4100"/>
    <n v="4350"/>
    <n v="101898"/>
  </r>
  <r>
    <x v="0"/>
    <x v="0"/>
    <x v="1"/>
    <s v="Продажи"/>
    <s v="Услуги связи"/>
    <s v="Одесса"/>
    <x v="2"/>
    <x v="4"/>
    <s v="Услуги связи"/>
    <x v="33"/>
    <m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Одесса"/>
    <x v="2"/>
    <x v="4"/>
    <s v="Услуги связи"/>
    <x v="13"/>
    <s v="Алексеєва Анжеліка Сергії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Одесса"/>
    <x v="2"/>
    <x v="4"/>
    <s v="Услуги связи"/>
    <x v="13"/>
    <s v="Аскерова Наталія Васил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Одесса"/>
    <x v="2"/>
    <x v="4"/>
    <s v="Услуги связи"/>
    <x v="13"/>
    <s v="Бевза Оксана Михайлі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Одесса"/>
    <x v="2"/>
    <x v="4"/>
    <s v="Услуги связи"/>
    <x v="13"/>
    <s v="Бекшанова Юлія Володимирі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Услуги связи"/>
    <s v="Одесса"/>
    <x v="2"/>
    <x v="4"/>
    <s v="Услуги связи"/>
    <x v="13"/>
    <s v="Грачова Єлизавета Мойсеєвна"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Услуги связи"/>
    <s v="Одесса"/>
    <x v="2"/>
    <x v="4"/>
    <s v="Услуги связи"/>
    <x v="13"/>
    <s v="Ільяшенко Альона Іван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Одесса"/>
    <x v="2"/>
    <x v="4"/>
    <s v="Услуги связи"/>
    <x v="13"/>
    <s v="Полянська Яніна Володимирі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Одесса"/>
    <x v="2"/>
    <x v="4"/>
    <s v="Услуги связи"/>
    <x v="13"/>
    <s v="Филимонов Костянтин Василь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Одесса"/>
    <x v="2"/>
    <x v="4"/>
    <s v="Услуги связи"/>
    <x v="13"/>
    <m/>
    <m/>
    <n v="41"/>
    <n v="41"/>
    <n v="41"/>
    <n v="41"/>
    <n v="41"/>
    <n v="41"/>
    <n v="41"/>
    <n v="41"/>
    <n v="41"/>
    <n v="41"/>
    <n v="41"/>
    <n v="41"/>
    <n v="492"/>
  </r>
  <r>
    <x v="0"/>
    <x v="0"/>
    <x v="1"/>
    <s v="Продажи"/>
    <s v="Зарплата"/>
    <s v="Харьков"/>
    <x v="2"/>
    <x v="0"/>
    <s v="Зарплата"/>
    <x v="0"/>
    <m/>
    <m/>
    <n v="19700"/>
    <n v="19700"/>
    <n v="19700"/>
    <n v="19700"/>
    <n v="19700"/>
    <n v="19700"/>
    <n v="19700"/>
    <n v="19700"/>
    <n v="19700"/>
    <n v="19700"/>
    <n v="19700"/>
    <n v="19700"/>
    <n v="236400"/>
  </r>
  <r>
    <x v="0"/>
    <x v="0"/>
    <x v="1"/>
    <s v="Продажи"/>
    <s v="Командировочные расходы"/>
    <s v="Харьков"/>
    <x v="2"/>
    <x v="1"/>
    <s v="Командировочные расходы"/>
    <x v="1"/>
    <m/>
    <m/>
    <m/>
    <m/>
    <m/>
    <m/>
    <m/>
    <m/>
    <m/>
    <m/>
    <m/>
    <m/>
    <m/>
    <m/>
    <n v="0"/>
  </r>
  <r>
    <x v="0"/>
    <x v="0"/>
    <x v="1"/>
    <s v="Продажи"/>
    <s v="Расходы на канцтовары и обслуживание оргтехники"/>
    <s v="Харьков"/>
    <x v="2"/>
    <x v="6"/>
    <s v="Расходы на канцтовары и обслуживание оргтехники"/>
    <x v="17"/>
    <m/>
    <m/>
    <n v="500"/>
    <n v="500"/>
    <n v="500"/>
    <n v="500"/>
    <n v="500"/>
    <n v="500"/>
    <n v="500"/>
    <n v="500"/>
    <n v="500"/>
    <n v="500"/>
    <n v="500"/>
    <n v="500"/>
    <n v="6000"/>
  </r>
  <r>
    <x v="0"/>
    <x v="0"/>
    <x v="1"/>
    <s v="Продажи"/>
    <s v="Расходы на канцтовары и обслуживание оргтехники"/>
    <s v="Харьков"/>
    <x v="2"/>
    <x v="6"/>
    <s v="Расходы на канцтовары и обслуживание оргтехники"/>
    <x v="38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1"/>
    <s v="Продажи"/>
    <s v="Расходы на налоги"/>
    <s v="Харьков"/>
    <x v="2"/>
    <x v="3"/>
    <s v="Расходы на налоги"/>
    <x v="12"/>
    <m/>
    <m/>
    <n v="1627.37"/>
    <n v="1627.37"/>
    <n v="1627.37"/>
    <n v="1627.37"/>
    <n v="1627.37"/>
    <n v="1627.37"/>
    <n v="1627.37"/>
    <n v="1627.37"/>
    <n v="1627.37"/>
    <n v="1627.37"/>
    <n v="1627.37"/>
    <n v="1627.37"/>
    <n v="19528.439999999995"/>
  </r>
  <r>
    <x v="0"/>
    <x v="0"/>
    <x v="1"/>
    <s v="Продажи"/>
    <s v="Расходы на персонал"/>
    <s v="Харьков"/>
    <x v="2"/>
    <x v="7"/>
    <s v="Расходы на персонал"/>
    <x v="29"/>
    <m/>
    <m/>
    <n v="1450"/>
    <n v="1450"/>
    <n v="1450"/>
    <n v="1450"/>
    <n v="1450"/>
    <n v="1450"/>
    <n v="1450"/>
    <n v="1450"/>
    <n v="1450"/>
    <n v="1450"/>
    <n v="1450"/>
    <n v="1450"/>
    <n v="17400"/>
  </r>
  <r>
    <x v="0"/>
    <x v="0"/>
    <x v="1"/>
    <s v="Продажи"/>
    <s v="Расходы на персонал"/>
    <s v="Харьков"/>
    <x v="2"/>
    <x v="7"/>
    <s v="Расходы на персонал"/>
    <x v="26"/>
    <s v="Мазур Олександр Серг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s v="Мирза Ольга Леоніді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s v="Муравльов Роман Серг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s v="Осадча Юлія Анатолії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s v="Полапа Ігор Андрійович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s v="Храмцова Дар’я Сергіївна"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1"/>
    <s v="Продажи"/>
    <s v="Расходы на персонал"/>
    <s v="Харьков"/>
    <x v="2"/>
    <x v="7"/>
    <s v="Расходы на персонал"/>
    <x v="26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2"/>
    <x v="1"/>
    <s v="Продажи"/>
    <s v="Расходы на списание"/>
    <s v="Харьков"/>
    <x v="2"/>
    <x v="22"/>
    <s v="Расходы на списание"/>
    <x v="73"/>
    <m/>
    <m/>
    <n v="4995"/>
    <n v="4995"/>
    <n v="4995"/>
    <n v="5600"/>
    <n v="9000"/>
    <n v="10000"/>
    <n v="9000"/>
    <n v="8000"/>
    <n v="6000"/>
    <n v="4800"/>
    <n v="4500"/>
    <n v="4500"/>
    <n v="76385"/>
  </r>
  <r>
    <x v="0"/>
    <x v="0"/>
    <x v="1"/>
    <s v="Расходы на трейд-маркетинг"/>
    <s v="Трейд-маркетинг"/>
    <s v="Харьков"/>
    <x v="2"/>
    <x v="14"/>
    <s v="Трейд-маркетинг"/>
    <x v="54"/>
    <m/>
    <m/>
    <m/>
    <m/>
    <m/>
    <m/>
    <m/>
    <m/>
    <m/>
    <m/>
    <m/>
    <m/>
    <m/>
    <m/>
    <n v="0"/>
  </r>
  <r>
    <x v="0"/>
    <x v="0"/>
    <x v="1"/>
    <s v="Продажи"/>
    <s v="Расходы на услуги сторонних организаций"/>
    <s v="Харьков"/>
    <x v="2"/>
    <x v="8"/>
    <s v="Расходы на услуги сторонних организаций"/>
    <x v="32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1"/>
    <s v="Продажи"/>
    <s v="Услуги связи"/>
    <s v="Харьков"/>
    <x v="2"/>
    <x v="4"/>
    <s v="Услуги связи"/>
    <x v="13"/>
    <s v="Мазур Олександр Серг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Харьков"/>
    <x v="2"/>
    <x v="4"/>
    <s v="Услуги связи"/>
    <x v="13"/>
    <s v="Мирза Ольга Леонідівна"/>
    <m/>
    <n v="61"/>
    <n v="61"/>
    <n v="61"/>
    <n v="61"/>
    <n v="61"/>
    <n v="61"/>
    <n v="61"/>
    <n v="61"/>
    <n v="61"/>
    <n v="61"/>
    <n v="61"/>
    <n v="61"/>
    <n v="732"/>
  </r>
  <r>
    <x v="0"/>
    <x v="0"/>
    <x v="1"/>
    <s v="Продажи"/>
    <s v="Услуги связи"/>
    <s v="Харьков"/>
    <x v="2"/>
    <x v="4"/>
    <s v="Услуги связи"/>
    <x v="13"/>
    <s v="Муравльов Роман Сергійович"/>
    <m/>
    <n v="61"/>
    <n v="61"/>
    <n v="61"/>
    <n v="61"/>
    <n v="61"/>
    <n v="61"/>
    <n v="61"/>
    <n v="61"/>
    <n v="61"/>
    <n v="61"/>
    <n v="61"/>
    <n v="61"/>
    <n v="732"/>
  </r>
  <r>
    <x v="0"/>
    <x v="0"/>
    <x v="1"/>
    <s v="Продажи"/>
    <s v="Услуги связи"/>
    <s v="Харьков"/>
    <x v="2"/>
    <x v="4"/>
    <s v="Услуги связи"/>
    <x v="13"/>
    <s v="Осадча Юлія Анатоліївна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Харьков"/>
    <x v="2"/>
    <x v="4"/>
    <s v="Услуги связи"/>
    <x v="13"/>
    <s v="Полапа Ігор Андрійович"/>
    <m/>
    <n v="91"/>
    <n v="91"/>
    <n v="91"/>
    <n v="91"/>
    <n v="91"/>
    <n v="91"/>
    <n v="91"/>
    <n v="91"/>
    <n v="91"/>
    <n v="91"/>
    <n v="91"/>
    <n v="91"/>
    <n v="1092"/>
  </r>
  <r>
    <x v="0"/>
    <x v="0"/>
    <x v="1"/>
    <s v="Продажи"/>
    <s v="Услуги связи"/>
    <s v="Харьков"/>
    <x v="2"/>
    <x v="4"/>
    <s v="Услуги связи"/>
    <x v="13"/>
    <s v="Храмцова Дар’я Сергіївна"/>
    <m/>
    <n v="61"/>
    <n v="61"/>
    <n v="61"/>
    <n v="61"/>
    <n v="61"/>
    <n v="61"/>
    <n v="61"/>
    <n v="61"/>
    <n v="61"/>
    <n v="61"/>
    <n v="61"/>
    <n v="61"/>
    <n v="732"/>
  </r>
  <r>
    <x v="0"/>
    <x v="0"/>
    <x v="1"/>
    <s v="Продажи"/>
    <s v="Услуги связи"/>
    <s v="Харьков"/>
    <x v="2"/>
    <x v="4"/>
    <s v="Услуги связи"/>
    <x v="13"/>
    <m/>
    <m/>
    <n v="261"/>
    <n v="261"/>
    <n v="261"/>
    <n v="261"/>
    <n v="261"/>
    <n v="261"/>
    <n v="261"/>
    <n v="261"/>
    <n v="261"/>
    <n v="261"/>
    <n v="261"/>
    <n v="261"/>
    <n v="3132"/>
  </r>
  <r>
    <x v="0"/>
    <x v="0"/>
    <x v="1"/>
    <s v="Продажи"/>
    <s v="Услуги связи"/>
    <s v="Харьков"/>
    <x v="2"/>
    <x v="4"/>
    <s v="Услуги связи"/>
    <x v="39"/>
    <m/>
    <m/>
    <n v="400"/>
    <n v="400"/>
    <n v="400"/>
    <n v="400"/>
    <n v="400"/>
    <n v="400"/>
    <n v="400"/>
    <n v="400"/>
    <n v="400"/>
    <n v="400"/>
    <n v="400"/>
    <n v="400"/>
    <n v="4800"/>
  </r>
  <r>
    <x v="0"/>
    <x v="0"/>
    <x v="1"/>
    <s v="Продажи"/>
    <s v="Зарплата"/>
    <s v="Дистрибьюторы"/>
    <x v="1"/>
    <x v="0"/>
    <s v="Зарплата"/>
    <x v="0"/>
    <m/>
    <m/>
    <n v="176680"/>
    <n v="176680"/>
    <n v="196690"/>
    <n v="196690"/>
    <n v="196690"/>
    <n v="196690"/>
    <n v="196690"/>
    <n v="196690"/>
    <n v="196690"/>
    <n v="196690"/>
    <n v="196690"/>
    <n v="196690"/>
    <n v="232026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Безусий Анатолій Васильович"/>
    <m/>
    <n v="1600"/>
    <n v="1600"/>
    <n v="1600"/>
    <n v="1600"/>
    <n v="1600"/>
    <n v="1600"/>
    <n v="1600"/>
    <n v="1600"/>
    <n v="1600"/>
    <n v="1600"/>
    <n v="1600"/>
    <n v="1600"/>
    <n v="192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Дейна Юлія Валеріївна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Задорожній Ростислав Олександрович"/>
    <m/>
    <n v="800"/>
    <n v="800"/>
    <n v="1600"/>
    <n v="1600"/>
    <n v="1600"/>
    <n v="1600"/>
    <n v="1600"/>
    <n v="1600"/>
    <n v="1600"/>
    <n v="1600"/>
    <n v="1600"/>
    <n v="1600"/>
    <n v="176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Кірнос Артем Вікторович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Лебедєва Олена Вікторівна"/>
    <m/>
    <n v="1600"/>
    <n v="1300"/>
    <n v="1300"/>
    <n v="1300"/>
    <n v="1300"/>
    <n v="1300"/>
    <n v="1300"/>
    <n v="1300"/>
    <n v="1300"/>
    <n v="1300"/>
    <n v="1300"/>
    <n v="1300"/>
    <n v="159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Непочатих Роман Сергійович"/>
    <m/>
    <n v="1600"/>
    <n v="1300"/>
    <n v="1300"/>
    <n v="1300"/>
    <n v="1300"/>
    <n v="1300"/>
    <n v="1300"/>
    <n v="1300"/>
    <n v="1300"/>
    <n v="1300"/>
    <n v="1300"/>
    <n v="1300"/>
    <n v="159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Осипов Сергій Вікторович"/>
    <m/>
    <n v="1200"/>
    <n v="1600"/>
    <n v="1600"/>
    <n v="1600"/>
    <n v="1600"/>
    <n v="1600"/>
    <n v="1600"/>
    <n v="1600"/>
    <n v="1600"/>
    <n v="1600"/>
    <n v="1600"/>
    <n v="1600"/>
    <n v="188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Петров Микола Володимирович"/>
    <m/>
    <n v="800"/>
    <n v="800"/>
    <n v="800"/>
    <n v="800"/>
    <n v="800"/>
    <n v="800"/>
    <n v="800"/>
    <n v="800"/>
    <n v="800"/>
    <n v="800"/>
    <n v="800"/>
    <n v="800"/>
    <n v="96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Судаченко Артем Вікторович"/>
    <m/>
    <n v="2500"/>
    <n v="1900"/>
    <n v="1900"/>
    <n v="1900"/>
    <n v="1900"/>
    <n v="1900"/>
    <n v="1900"/>
    <n v="1900"/>
    <n v="1900"/>
    <n v="1900"/>
    <n v="1900"/>
    <n v="1900"/>
    <n v="234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Тищенко Андрій Сергійович"/>
    <m/>
    <n v="2500"/>
    <n v="3500"/>
    <n v="3500"/>
    <n v="3500"/>
    <n v="3500"/>
    <n v="3500"/>
    <n v="3500"/>
    <n v="3500"/>
    <n v="3500"/>
    <n v="3500"/>
    <n v="3500"/>
    <n v="3500"/>
    <n v="410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Умурзаков Святослав Гуламжанович"/>
    <m/>
    <n v="1200"/>
    <n v="0"/>
    <n v="0"/>
    <n v="0"/>
    <n v="0"/>
    <n v="0"/>
    <n v="0"/>
    <n v="0"/>
    <n v="0"/>
    <n v="0"/>
    <n v="0"/>
    <n v="0"/>
    <n v="12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Урушанян Рубен Едікович"/>
    <m/>
    <m/>
    <n v="0"/>
    <n v="0"/>
    <n v="0"/>
    <n v="0"/>
    <n v="0"/>
    <n v="0"/>
    <n v="0"/>
    <n v="0"/>
    <n v="0"/>
    <n v="0"/>
    <n v="0"/>
    <n v="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s v="Яцишин Василь Миколайович"/>
    <m/>
    <n v="1600"/>
    <n v="1600"/>
    <n v="1600"/>
    <n v="1600"/>
    <n v="1600"/>
    <n v="1600"/>
    <n v="1600"/>
    <n v="1600"/>
    <n v="1600"/>
    <n v="1600"/>
    <n v="1600"/>
    <n v="1600"/>
    <n v="19200"/>
  </r>
  <r>
    <x v="0"/>
    <x v="0"/>
    <x v="1"/>
    <s v="Продажи"/>
    <s v="Командировочные расходы"/>
    <s v="Дистрибьюторы"/>
    <x v="1"/>
    <x v="1"/>
    <s v="Командировочные расходы"/>
    <x v="1"/>
    <m/>
    <m/>
    <m/>
    <m/>
    <m/>
    <m/>
    <m/>
    <m/>
    <m/>
    <m/>
    <m/>
    <m/>
    <m/>
    <m/>
    <n v="0"/>
  </r>
  <r>
    <x v="0"/>
    <x v="2"/>
    <x v="1"/>
    <s v="Расходы на трейд-маркетинг"/>
    <s v="Трейд-маркетинг"/>
    <s v="Дистрибьюторы"/>
    <x v="1"/>
    <x v="14"/>
    <s v="Трейд-маркетинг"/>
    <x v="87"/>
    <m/>
    <m/>
    <m/>
    <m/>
    <m/>
    <m/>
    <m/>
    <m/>
    <m/>
    <m/>
    <m/>
    <m/>
    <m/>
    <n v="145"/>
    <n v="145"/>
  </r>
  <r>
    <x v="0"/>
    <x v="0"/>
    <x v="1"/>
    <s v="Продажи"/>
    <s v="Расходы на налоги"/>
    <s v="Дистрибьюторы"/>
    <x v="1"/>
    <x v="3"/>
    <s v="Расходы на налоги"/>
    <x v="12"/>
    <m/>
    <m/>
    <n v="8997.56"/>
    <n v="8997.56"/>
    <n v="10614.89"/>
    <n v="10614.89"/>
    <n v="10614.89"/>
    <n v="10614.89"/>
    <n v="10614.89"/>
    <n v="10614.89"/>
    <n v="10614.89"/>
    <n v="10614.89"/>
    <n v="10614.89"/>
    <n v="10614.89"/>
    <n v="124144.01999999999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Безусий Анатолій Васильович"/>
    <m/>
    <n v="561"/>
    <n v="561"/>
    <n v="561"/>
    <n v="561"/>
    <n v="561"/>
    <n v="561"/>
    <n v="561"/>
    <n v="561"/>
    <n v="561"/>
    <n v="561"/>
    <n v="561"/>
    <n v="561"/>
    <n v="6732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Дейна Юлія Валеріївна"/>
    <m/>
    <n v="900"/>
    <n v="900"/>
    <n v="900"/>
    <n v="900"/>
    <n v="900"/>
    <n v="900"/>
    <n v="900"/>
    <n v="900"/>
    <n v="900"/>
    <n v="900"/>
    <n v="900"/>
    <n v="900"/>
    <n v="108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Задорожній Ростислав Олександрович"/>
    <m/>
    <n v="361"/>
    <n v="361"/>
    <n v="361"/>
    <n v="361"/>
    <n v="361"/>
    <n v="361"/>
    <n v="361"/>
    <n v="361"/>
    <n v="361"/>
    <n v="361"/>
    <n v="361"/>
    <n v="361"/>
    <n v="4332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Лебедєва Олена Вікторівна"/>
    <m/>
    <n v="900"/>
    <n v="900"/>
    <n v="900"/>
    <n v="900"/>
    <n v="900"/>
    <n v="900"/>
    <n v="900"/>
    <n v="900"/>
    <n v="900"/>
    <n v="900"/>
    <n v="900"/>
    <n v="900"/>
    <n v="108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Непочатих Роман Сергійович"/>
    <m/>
    <n v="900"/>
    <n v="900"/>
    <n v="900"/>
    <n v="900"/>
    <n v="900"/>
    <n v="900"/>
    <n v="900"/>
    <n v="900"/>
    <n v="900"/>
    <n v="900"/>
    <n v="900"/>
    <n v="900"/>
    <n v="108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Осипов Сергій Вікторович"/>
    <m/>
    <n v="450"/>
    <n v="450"/>
    <n v="450"/>
    <n v="450"/>
    <n v="450"/>
    <n v="450"/>
    <n v="450"/>
    <n v="450"/>
    <n v="450"/>
    <n v="450"/>
    <n v="450"/>
    <n v="450"/>
    <n v="54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Петров Микола Володимирович"/>
    <m/>
    <n v="700"/>
    <n v="700"/>
    <n v="700"/>
    <n v="700"/>
    <n v="700"/>
    <n v="700"/>
    <n v="700"/>
    <n v="700"/>
    <n v="700"/>
    <n v="700"/>
    <n v="700"/>
    <n v="700"/>
    <n v="84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Соколенко Геннадій Михайлович"/>
    <m/>
    <n v="361"/>
    <n v="361"/>
    <n v="361"/>
    <n v="361"/>
    <n v="361"/>
    <n v="361"/>
    <n v="361"/>
    <n v="361"/>
    <n v="361"/>
    <n v="361"/>
    <n v="361"/>
    <n v="361"/>
    <n v="4332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Судаченко Артем Вікторович"/>
    <m/>
    <n v="700"/>
    <n v="700"/>
    <n v="700"/>
    <n v="700"/>
    <n v="700"/>
    <n v="700"/>
    <n v="700"/>
    <n v="700"/>
    <n v="700"/>
    <n v="700"/>
    <n v="700"/>
    <n v="700"/>
    <n v="84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Тищенко Андрій Сергійович"/>
    <m/>
    <n v="900"/>
    <n v="900"/>
    <n v="900"/>
    <n v="900"/>
    <n v="900"/>
    <n v="900"/>
    <n v="900"/>
    <n v="900"/>
    <n v="900"/>
    <n v="900"/>
    <n v="900"/>
    <n v="900"/>
    <n v="1080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Умурзаков Святослав Гуламжанович"/>
    <m/>
    <n v="450"/>
    <n v="0"/>
    <n v="0"/>
    <n v="0"/>
    <n v="0"/>
    <n v="0"/>
    <n v="0"/>
    <n v="0"/>
    <n v="0"/>
    <n v="0"/>
    <n v="0"/>
    <n v="0"/>
    <n v="450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s v="Урушанян Рубен Едікович"/>
    <m/>
    <n v="561"/>
    <n v="561"/>
    <n v="561"/>
    <n v="561"/>
    <n v="561"/>
    <n v="561"/>
    <n v="561"/>
    <n v="561"/>
    <n v="561"/>
    <n v="561"/>
    <n v="561"/>
    <n v="561"/>
    <n v="6732"/>
  </r>
  <r>
    <x v="0"/>
    <x v="0"/>
    <x v="1"/>
    <s v="Продажи"/>
    <s v="Расходы на персонал"/>
    <s v="Дистрибьюторы"/>
    <x v="1"/>
    <x v="7"/>
    <s v="Расходы на персонал"/>
    <x v="37"/>
    <m/>
    <m/>
    <m/>
    <m/>
    <n v="1083.03"/>
    <n v="1083.03"/>
    <n v="1083.03"/>
    <n v="1083.03"/>
    <n v="1083.03"/>
    <n v="1083.03"/>
    <n v="1083.03"/>
    <n v="1083.03"/>
    <n v="1083.03"/>
    <n v="1083.03"/>
    <n v="10830.300000000001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Безусий Анатолій Васильович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Дейна Юлія Валеріївна"/>
    <m/>
    <n v="3400"/>
    <n v="3400"/>
    <n v="3400"/>
    <n v="3400"/>
    <n v="3400"/>
    <n v="3400"/>
    <n v="3400"/>
    <n v="3400"/>
    <n v="3400"/>
    <n v="3400"/>
    <n v="3400"/>
    <n v="3400"/>
    <n v="408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Задорожній Ростислав Олександрович"/>
    <m/>
    <n v="1100"/>
    <n v="1100"/>
    <n v="1100"/>
    <n v="1100"/>
    <n v="1100"/>
    <n v="1100"/>
    <n v="1100"/>
    <n v="1100"/>
    <n v="1100"/>
    <n v="1100"/>
    <n v="1100"/>
    <n v="1100"/>
    <n v="132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Кірнос Артем Вікторович"/>
    <m/>
    <n v="4500"/>
    <n v="4500"/>
    <n v="4500"/>
    <n v="4500"/>
    <n v="4500"/>
    <n v="4500"/>
    <n v="4500"/>
    <n v="4500"/>
    <n v="4500"/>
    <n v="4500"/>
    <n v="4500"/>
    <n v="4500"/>
    <n v="54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Лебедєва Олена Вікторівна"/>
    <m/>
    <n v="3000"/>
    <n v="3000"/>
    <n v="3000"/>
    <n v="3000"/>
    <n v="3000"/>
    <n v="3000"/>
    <n v="3000"/>
    <n v="3000"/>
    <n v="3000"/>
    <n v="3000"/>
    <n v="3000"/>
    <n v="3000"/>
    <n v="36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Непочатих Роман Сергійович"/>
    <m/>
    <n v="2800"/>
    <n v="2800"/>
    <n v="2800"/>
    <n v="2800"/>
    <n v="2800"/>
    <n v="2800"/>
    <n v="2800"/>
    <n v="2800"/>
    <n v="2800"/>
    <n v="2800"/>
    <n v="2800"/>
    <n v="2800"/>
    <n v="336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Осипов Сергій Вікторович"/>
    <m/>
    <n v="1900"/>
    <n v="1900"/>
    <n v="2800"/>
    <n v="2800"/>
    <n v="2800"/>
    <n v="2800"/>
    <n v="2800"/>
    <n v="2800"/>
    <n v="2800"/>
    <n v="2800"/>
    <n v="2800"/>
    <n v="2800"/>
    <n v="318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Петров Микола Володимирович"/>
    <m/>
    <n v="2500"/>
    <n v="2000"/>
    <n v="2000"/>
    <n v="2000"/>
    <n v="2500"/>
    <n v="2500"/>
    <n v="2500"/>
    <n v="2500"/>
    <n v="2000"/>
    <n v="2000"/>
    <n v="2000"/>
    <n v="2000"/>
    <n v="265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Соколенко Геннадій Михайлович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Судаченко Артем Вікторович"/>
    <m/>
    <n v="2800"/>
    <n v="2800"/>
    <n v="2800"/>
    <n v="2800"/>
    <n v="2800"/>
    <n v="2800"/>
    <n v="2800"/>
    <n v="2800"/>
    <n v="2800"/>
    <n v="2800"/>
    <n v="2800"/>
    <n v="2800"/>
    <n v="336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Тищенко Андрій Сергійович"/>
    <m/>
    <n v="4000"/>
    <n v="4000"/>
    <n v="4000"/>
    <n v="4000"/>
    <n v="4000"/>
    <n v="4000"/>
    <n v="4000"/>
    <n v="4000"/>
    <n v="4000"/>
    <n v="4000"/>
    <n v="4000"/>
    <n v="4000"/>
    <n v="48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Умурзаков Святослав Гуламжанович"/>
    <m/>
    <n v="1900"/>
    <n v="0"/>
    <n v="0"/>
    <n v="0"/>
    <n v="0"/>
    <n v="0"/>
    <n v="0"/>
    <n v="0"/>
    <n v="0"/>
    <n v="0"/>
    <n v="0"/>
    <n v="0"/>
    <n v="19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Урушанян Рубен Едікович"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s v="Яцишин Василь Миколайович"/>
    <m/>
    <n v="5500"/>
    <n v="5500"/>
    <n v="5500"/>
    <n v="5500"/>
    <n v="5500"/>
    <n v="5500"/>
    <n v="5500"/>
    <n v="5500"/>
    <n v="5500"/>
    <n v="5500"/>
    <n v="5500"/>
    <n v="5500"/>
    <n v="66000"/>
  </r>
  <r>
    <x v="0"/>
    <x v="0"/>
    <x v="1"/>
    <s v="Продажи"/>
    <s v="Расходы на персонал"/>
    <s v="Дистрибьюторы"/>
    <x v="1"/>
    <x v="7"/>
    <s v="Расходы на персонал"/>
    <x v="29"/>
    <m/>
    <m/>
    <m/>
    <m/>
    <n v="5700.03"/>
    <n v="5700.0300000000007"/>
    <n v="5700.0300000000007"/>
    <n v="7200.0300000000007"/>
    <n v="7200.0300000000007"/>
    <n v="7200.0300000000007"/>
    <n v="7200.0300000000007"/>
    <n v="7200.0300000000007"/>
    <n v="7200.0300000000007"/>
    <n v="7200.0300000000007"/>
    <n v="67500.3"/>
  </r>
  <r>
    <x v="0"/>
    <x v="0"/>
    <x v="1"/>
    <s v="Продажи"/>
    <s v="Расходы на персонал"/>
    <s v="Дистрибьюторы"/>
    <x v="1"/>
    <x v="7"/>
    <s v="Расходы на персонал"/>
    <x v="45"/>
    <m/>
    <m/>
    <m/>
    <m/>
    <m/>
    <m/>
    <n v="0"/>
    <m/>
    <m/>
    <m/>
    <m/>
    <m/>
    <m/>
    <m/>
    <n v="0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Євроморозпродукт ТОВ"/>
    <n v="1475"/>
    <n v="1970"/>
    <n v="1915"/>
    <n v="4490"/>
    <n v="9870"/>
    <n v="10137"/>
    <n v="9344"/>
    <n v="5685"/>
    <n v="1684"/>
    <n v="1422"/>
    <n v="1474"/>
    <n v="1675"/>
    <n v="51141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Кухта І І"/>
    <m/>
    <m/>
    <n v="191"/>
    <n v="314"/>
    <n v="521"/>
    <n v="714"/>
    <n v="714"/>
    <n v="254"/>
    <n v="200"/>
    <n v="168"/>
    <n v="168"/>
    <n v="168"/>
    <n v="3412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Ласунка-Маркет ПП"/>
    <n v="345"/>
    <n v="530"/>
    <n v="940"/>
    <n v="2000"/>
    <n v="2723"/>
    <n v="3300"/>
    <n v="3300"/>
    <n v="2800"/>
    <n v="1200"/>
    <n v="400"/>
    <n v="400"/>
    <n v="400"/>
    <n v="18338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Натела ООО (Харьков)"/>
    <n v="1028"/>
    <n v="1228"/>
    <n v="1503"/>
    <n v="2468"/>
    <n v="3753"/>
    <n v="3465"/>
    <n v="3070"/>
    <n v="2202"/>
    <n v="1183"/>
    <n v="1183"/>
    <n v="1183"/>
    <n v="1383"/>
    <n v="23649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Нова лінія АТ"/>
    <n v="175"/>
    <n v="175"/>
    <n v="175"/>
    <n v="195"/>
    <n v="356"/>
    <n v="356"/>
    <n v="356"/>
    <n v="173"/>
    <n v="101"/>
    <n v="101"/>
    <n v="101"/>
    <n v="101"/>
    <n v="2365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Обидін м.Варва (Чернігівської обл.)"/>
    <n v="132"/>
    <n v="132"/>
    <n v="189"/>
    <n v="189"/>
    <n v="459"/>
    <n v="503"/>
    <n v="309"/>
    <n v="309"/>
    <n v="242"/>
    <n v="148"/>
    <n v="148"/>
    <n v="148"/>
    <n v="2908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Поліщук С.С. ( м. Умань Черкаської обл.)"/>
    <n v="459"/>
    <n v="490"/>
    <n v="743"/>
    <n v="1181"/>
    <n v="2083"/>
    <n v="2083"/>
    <n v="1720"/>
    <n v="1285"/>
    <n v="523"/>
    <n v="523"/>
    <n v="523"/>
    <n v="560"/>
    <n v="12173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Троянда-Люкс"/>
    <n v="1750"/>
    <n v="1800"/>
    <n v="2000"/>
    <n v="2000"/>
    <n v="2000"/>
    <n v="2000"/>
    <n v="3000"/>
    <n v="2000"/>
    <n v="1500"/>
    <n v="1400"/>
    <n v="1200"/>
    <n v="1200"/>
    <n v="21850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s v="ФАЭТОН ООО"/>
    <n v="1854"/>
    <n v="2235"/>
    <n v="3951"/>
    <n v="8383"/>
    <n v="15987"/>
    <n v="22653"/>
    <n v="25251"/>
    <n v="15565"/>
    <n v="4118"/>
    <n v="2378"/>
    <n v="2250"/>
    <n v="2250"/>
    <n v="106875"/>
  </r>
  <r>
    <x v="0"/>
    <x v="2"/>
    <x v="1"/>
    <s v="Продажи"/>
    <s v="Расходы на списание"/>
    <s v="Дистрибьюторы"/>
    <x v="1"/>
    <x v="22"/>
    <s v="Расходы на списание"/>
    <x v="73"/>
    <m/>
    <m/>
    <m/>
    <m/>
    <n v="198"/>
    <n v="582"/>
    <n v="862"/>
    <n v="1009"/>
    <n v="830"/>
    <n v="430"/>
    <n v="350"/>
    <n v="350"/>
    <n v="350"/>
    <n v="350"/>
    <n v="5311"/>
  </r>
  <r>
    <x v="0"/>
    <x v="2"/>
    <x v="1"/>
    <s v="Расходы на трейд-маркетинг"/>
    <s v="Трейд-маркетинг"/>
    <s v="Дистрибьюторы"/>
    <x v="1"/>
    <x v="14"/>
    <s v="Трейд-маркетинг"/>
    <x v="87"/>
    <m/>
    <m/>
    <n v="33240.449037735583"/>
    <n v="36174.524583707869"/>
    <n v="53208.976221545061"/>
    <n v="100699"/>
    <n v="240703"/>
    <n v="258306"/>
    <n v="208239"/>
    <n v="124152"/>
    <n v="51644.076346682203"/>
    <n v="40094.853044440228"/>
    <n v="38747.508979180297"/>
    <n v="42947.262069927543"/>
    <n v="1228156.6502832188"/>
  </r>
  <r>
    <x v="0"/>
    <x v="2"/>
    <x v="1"/>
    <s v="Расходы на трейд-маркетинг"/>
    <s v="Трейд-маркетинг"/>
    <s v="Дистрибьюторы"/>
    <x v="1"/>
    <x v="14"/>
    <s v="Трейд-маркетинг"/>
    <x v="55"/>
    <m/>
    <m/>
    <n v="47367.639878773196"/>
    <n v="51548.697531783706"/>
    <n v="75822.791115701708"/>
    <n v="151997"/>
    <n v="355752"/>
    <n v="355835"/>
    <n v="270991"/>
    <n v="185417"/>
    <n v="73592.80879402213"/>
    <n v="57135.165588327312"/>
    <n v="55215.200295331917"/>
    <n v="61199.848449646743"/>
    <n v="1741874.1516535867"/>
  </r>
  <r>
    <x v="0"/>
    <x v="2"/>
    <x v="1"/>
    <s v="Расходы на трейд-маркетинг"/>
    <s v="Трейд-маркетинг"/>
    <s v="Дистрибьюторы"/>
    <x v="1"/>
    <x v="14"/>
    <s v="Трейд-маркетинг"/>
    <x v="88"/>
    <m/>
    <m/>
    <n v="5000"/>
    <n v="5000"/>
    <n v="5000"/>
    <n v="5000"/>
    <n v="15000"/>
    <n v="15000"/>
    <n v="15000"/>
    <n v="5000"/>
    <n v="5000"/>
    <n v="5000"/>
    <m/>
    <m/>
    <n v="80000"/>
  </r>
  <r>
    <x v="0"/>
    <x v="0"/>
    <x v="1"/>
    <s v="Продажи"/>
    <s v="Расходы на услуги сторонних организаций"/>
    <s v="Дистрибьюторы"/>
    <x v="1"/>
    <x v="8"/>
    <s v="Расходы на услуги сторонних организаций"/>
    <x v="27"/>
    <m/>
    <m/>
    <m/>
    <m/>
    <m/>
    <m/>
    <m/>
    <m/>
    <m/>
    <m/>
    <m/>
    <m/>
    <m/>
    <m/>
    <n v="0"/>
  </r>
  <r>
    <x v="0"/>
    <x v="0"/>
    <x v="1"/>
    <s v="Продажи"/>
    <s v="Расходы на услуги сторонних организаций"/>
    <s v="Дистрибьюторы"/>
    <x v="1"/>
    <x v="8"/>
    <s v="Расходы на услуги сторонних организаций"/>
    <x v="32"/>
    <m/>
    <m/>
    <n v="1000"/>
    <n v="1000"/>
    <n v="1000"/>
    <n v="1000"/>
    <n v="1000"/>
    <n v="1000"/>
    <n v="1000"/>
    <n v="1000"/>
    <n v="1000"/>
    <n v="1000"/>
    <n v="1000"/>
    <n v="1000"/>
    <n v="1200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Гаврилюк Ю.Н.ЧП"/>
    <n v="6000"/>
    <n v="6000"/>
    <n v="8000"/>
    <n v="10000"/>
    <n v="16000"/>
    <n v="18000"/>
    <n v="19000"/>
    <n v="16000"/>
    <n v="9000"/>
    <n v="7000"/>
    <n v="6000"/>
    <n v="6000"/>
    <n v="12700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Корал-1 (м. Шостка Сумська обл.)"/>
    <n v="14000"/>
    <n v="14000"/>
    <n v="15000"/>
    <n v="14000"/>
    <n v="18000"/>
    <n v="21000"/>
    <n v="20000"/>
    <n v="18000"/>
    <n v="13000"/>
    <n v="11000"/>
    <n v="9000"/>
    <n v="9000"/>
    <n v="17600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Світ морозива (м. Чернігів)"/>
    <n v="1050"/>
    <n v="1050"/>
    <n v="1050"/>
    <n v="1800"/>
    <n v="2400"/>
    <n v="2400"/>
    <n v="2400"/>
    <n v="2000"/>
    <n v="1100"/>
    <n v="800"/>
    <n v="600"/>
    <n v="600"/>
    <n v="1725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Сидоренко С.В."/>
    <n v="600"/>
    <n v="600"/>
    <n v="750"/>
    <n v="900"/>
    <n v="1600"/>
    <n v="2000"/>
    <n v="2000"/>
    <n v="1800"/>
    <n v="900"/>
    <n v="600"/>
    <n v="450"/>
    <n v="450"/>
    <n v="1265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СНБ11 ТОВ"/>
    <n v="10000"/>
    <m/>
    <m/>
    <m/>
    <m/>
    <m/>
    <m/>
    <m/>
    <m/>
    <m/>
    <m/>
    <m/>
    <n v="10000"/>
  </r>
  <r>
    <x v="0"/>
    <x v="2"/>
    <x v="1"/>
    <s v="Расходы по торговым точкам"/>
    <s v="Ретро-бонусы"/>
    <s v="Дистрибьюторы"/>
    <x v="1"/>
    <x v="23"/>
    <s v="Ретро-бонусы"/>
    <x v="86"/>
    <m/>
    <s v="Троянда-Люкс"/>
    <n v="3600"/>
    <n v="3600"/>
    <n v="3600"/>
    <n v="3600"/>
    <n v="3600"/>
    <n v="3600"/>
    <n v="3600"/>
    <n v="3600"/>
    <n v="3600"/>
    <n v="3600"/>
    <n v="3600"/>
    <n v="3600"/>
    <n v="43200"/>
  </r>
  <r>
    <x v="0"/>
    <x v="0"/>
    <x v="1"/>
    <s v="Продажи"/>
    <s v="Услуги связи"/>
    <s v="Дистрибьюторы"/>
    <x v="1"/>
    <x v="4"/>
    <s v="Услуги связи"/>
    <x v="33"/>
    <s v="Безусий Анатолій Василь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Дейна Юлія Валеріївна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Задорожній Ростислав Олександ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Кірнос Артем Вікто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Лебедєва Олена Вікторівна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Непочатих Роман Сергій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Осипов Сергій Вікто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Петров Микола Володими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Соколенко Геннадій Михайл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Судаченко Артем Віктор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Тищенко Андрій Сергійович"/>
    <m/>
    <n v="500"/>
    <n v="200"/>
    <n v="200"/>
    <n v="200"/>
    <n v="200"/>
    <n v="200"/>
    <n v="200"/>
    <n v="200"/>
    <n v="200"/>
    <n v="200"/>
    <n v="200"/>
    <n v="200"/>
    <n v="2700"/>
  </r>
  <r>
    <x v="0"/>
    <x v="0"/>
    <x v="1"/>
    <s v="Продажи"/>
    <s v="Услуги связи"/>
    <s v="Дистрибьюторы"/>
    <x v="1"/>
    <x v="4"/>
    <s v="Услуги связи"/>
    <x v="33"/>
    <s v="Умурзаков Святослав Гуламжанович"/>
    <m/>
    <n v="110"/>
    <n v="0"/>
    <n v="0"/>
    <n v="0"/>
    <n v="0"/>
    <n v="0"/>
    <n v="0"/>
    <n v="0"/>
    <n v="0"/>
    <n v="0"/>
    <n v="0"/>
    <n v="0"/>
    <n v="110"/>
  </r>
  <r>
    <x v="0"/>
    <x v="0"/>
    <x v="1"/>
    <s v="Продажи"/>
    <s v="Услуги связи"/>
    <s v="Дистрибьюторы"/>
    <x v="1"/>
    <x v="4"/>
    <s v="Услуги связи"/>
    <x v="33"/>
    <s v="Урушанян Рубен Едік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s v="Яцишин Василь Миколайович"/>
    <m/>
    <n v="110"/>
    <n v="110"/>
    <n v="110"/>
    <n v="110"/>
    <n v="110"/>
    <n v="110"/>
    <n v="110"/>
    <n v="110"/>
    <n v="110"/>
    <n v="110"/>
    <n v="110"/>
    <n v="110"/>
    <n v="1320"/>
  </r>
  <r>
    <x v="0"/>
    <x v="0"/>
    <x v="1"/>
    <s v="Продажи"/>
    <s v="Услуги связи"/>
    <s v="Дистрибьюторы"/>
    <x v="1"/>
    <x v="4"/>
    <s v="Услуги связи"/>
    <x v="33"/>
    <m/>
    <m/>
    <m/>
    <m/>
    <n v="330.03"/>
    <n v="330.03"/>
    <n v="330.03"/>
    <n v="330.03"/>
    <n v="330.03"/>
    <n v="330.03"/>
    <n v="330.03"/>
    <n v="330.03"/>
    <n v="330.03"/>
    <n v="330.03"/>
    <n v="3300.2999999999993"/>
  </r>
  <r>
    <x v="0"/>
    <x v="0"/>
    <x v="1"/>
    <s v="Продажи"/>
    <s v="Услуги связи"/>
    <s v="Дистрибьюторы"/>
    <x v="1"/>
    <x v="4"/>
    <s v="Услуги связи"/>
    <x v="13"/>
    <s v="Безусий Анатолій Василь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Дейна Юлія Валеріївна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Задорожній Ростислав Олександрович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1"/>
    <s v="Продажи"/>
    <s v="Услуги связи"/>
    <s v="Дистрибьюторы"/>
    <x v="1"/>
    <x v="4"/>
    <s v="Услуги связи"/>
    <x v="13"/>
    <s v="Кірнос Артем Вікто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Лебедєва Олена Вікторівна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Непочатих Роман Сергій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Осипов Сергій Вікторович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1"/>
    <s v="Продажи"/>
    <s v="Услуги связи"/>
    <s v="Дистрибьюторы"/>
    <x v="1"/>
    <x v="4"/>
    <s v="Услуги связи"/>
    <x v="13"/>
    <s v="Петров Микола Володими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Соколенко Геннадій Михайлович"/>
    <m/>
    <n v="165"/>
    <n v="165"/>
    <n v="165"/>
    <n v="165"/>
    <n v="165"/>
    <n v="165"/>
    <n v="165"/>
    <n v="165"/>
    <n v="165"/>
    <n v="165"/>
    <n v="165"/>
    <n v="165"/>
    <n v="1980"/>
  </r>
  <r>
    <x v="0"/>
    <x v="0"/>
    <x v="1"/>
    <s v="Продажи"/>
    <s v="Услуги связи"/>
    <s v="Дистрибьюторы"/>
    <x v="1"/>
    <x v="4"/>
    <s v="Услуги связи"/>
    <x v="13"/>
    <s v="Судаченко Артем Віктор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Тищенко Андрій Сергій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Умурзаков Святослав Гуламжанович"/>
    <m/>
    <n v="165"/>
    <n v="0"/>
    <n v="0"/>
    <n v="0"/>
    <n v="0"/>
    <n v="0"/>
    <n v="0"/>
    <n v="0"/>
    <n v="0"/>
    <n v="0"/>
    <n v="0"/>
    <n v="0"/>
    <n v="165"/>
  </r>
  <r>
    <x v="0"/>
    <x v="0"/>
    <x v="1"/>
    <s v="Продажи"/>
    <s v="Услуги связи"/>
    <s v="Дистрибьюторы"/>
    <x v="1"/>
    <x v="4"/>
    <s v="Услуги связи"/>
    <x v="13"/>
    <s v="Урушанян Рубен Едік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s v="Яцишин Василь Миколайович"/>
    <m/>
    <n v="430"/>
    <n v="430"/>
    <n v="430"/>
    <n v="430"/>
    <n v="430"/>
    <n v="430"/>
    <n v="430"/>
    <n v="430"/>
    <n v="430"/>
    <n v="430"/>
    <n v="430"/>
    <n v="430"/>
    <n v="5160"/>
  </r>
  <r>
    <x v="0"/>
    <x v="0"/>
    <x v="1"/>
    <s v="Продажи"/>
    <s v="Услуги связи"/>
    <s v="Дистрибьюторы"/>
    <x v="1"/>
    <x v="4"/>
    <s v="Услуги связи"/>
    <x v="13"/>
    <m/>
    <m/>
    <m/>
    <m/>
    <n v="495.03"/>
    <n v="495.03"/>
    <n v="495.03"/>
    <n v="495.03"/>
    <n v="495.03"/>
    <n v="495.03"/>
    <n v="495.03"/>
    <n v="495.03"/>
    <n v="495.03"/>
    <n v="495.03"/>
    <n v="4950.2999999999984"/>
  </r>
  <r>
    <x v="0"/>
    <x v="0"/>
    <x v="1"/>
    <s v="Продажи"/>
    <s v="Услуги связи"/>
    <s v="Дистрибьюторы"/>
    <x v="1"/>
    <x v="4"/>
    <s v="Услуги связи"/>
    <x v="39"/>
    <m/>
    <m/>
    <n v="400"/>
    <n v="400"/>
    <n v="400"/>
    <n v="400"/>
    <n v="400"/>
    <n v="400"/>
    <n v="400"/>
    <n v="400"/>
    <n v="400"/>
    <n v="400"/>
    <n v="400"/>
    <n v="400"/>
    <n v="4800"/>
  </r>
  <r>
    <x v="0"/>
    <x v="1"/>
    <x v="2"/>
    <s v="Прочие расходы"/>
    <s v="Прочие расходы"/>
    <s v="Директор производства"/>
    <x v="0"/>
    <x v="18"/>
    <s v="Прочие расходы"/>
    <x v="67"/>
    <m/>
    <m/>
    <n v="64270.367419941031"/>
    <n v="20534.620088869884"/>
    <n v="214421.4293299306"/>
    <n v="806226.93194687692"/>
    <n v="979453.46328613348"/>
    <n v="987434.69169264822"/>
    <n v="472697.88335313217"/>
    <n v="703646.19140429597"/>
    <n v="153168.97270607942"/>
    <n v="95069.870132899596"/>
    <n v="90273.499969108685"/>
    <n v="73945.777249858191"/>
    <n v="4661143.6985797742"/>
  </r>
  <r>
    <x v="0"/>
    <x v="2"/>
    <x v="3"/>
    <s v="Себестоимость"/>
    <s v="Себестоимость"/>
    <s v="Директор производства"/>
    <x v="0"/>
    <x v="19"/>
    <s v="Себестоимость"/>
    <x v="68"/>
    <m/>
    <m/>
    <n v="5847537.3808992412"/>
    <n v="6462152.5054680184"/>
    <n v="8126186.3306072643"/>
    <n v="13194534.497393187"/>
    <n v="25602447.07998959"/>
    <n v="28048859.400314849"/>
    <n v="22543323.106171269"/>
    <n v="16766837.554441627"/>
    <n v="8502572.9492123183"/>
    <n v="6855241.7978538405"/>
    <n v="6617862.1039150814"/>
    <n v="7217236.809271344"/>
    <n v="155784791.51553762"/>
  </r>
  <r>
    <x v="0"/>
    <x v="0"/>
    <x v="6"/>
    <s v="Производственная деятельность"/>
    <s v="Аренда"/>
    <s v="Директор производства"/>
    <x v="0"/>
    <x v="9"/>
    <s v="Аренда"/>
    <x v="28"/>
    <m/>
    <m/>
    <n v="80"/>
    <n v="80"/>
    <n v="80"/>
    <n v="80"/>
    <n v="80"/>
    <n v="80"/>
    <n v="80"/>
    <n v="80"/>
    <n v="80"/>
    <n v="80"/>
    <n v="80"/>
    <n v="80"/>
    <n v="960"/>
  </r>
  <r>
    <x v="0"/>
    <x v="0"/>
    <x v="6"/>
    <s v="Производственная деятельность"/>
    <s v="Зарплата"/>
    <s v="Директор производства"/>
    <x v="0"/>
    <x v="0"/>
    <s v="Зарплата"/>
    <x v="0"/>
    <m/>
    <m/>
    <n v="39023"/>
    <n v="39023"/>
    <n v="39023"/>
    <n v="39023"/>
    <n v="39023"/>
    <n v="39023"/>
    <n v="39023"/>
    <n v="39023"/>
    <n v="39023"/>
    <n v="39023"/>
    <n v="39023"/>
    <n v="39023"/>
    <n v="468276"/>
  </r>
  <r>
    <x v="0"/>
    <x v="0"/>
    <x v="6"/>
    <s v="Производственная деятельность"/>
    <s v="Зарплата"/>
    <s v="Директор производства"/>
    <x v="0"/>
    <x v="0"/>
    <s v="Зарплата"/>
    <x v="89"/>
    <m/>
    <m/>
    <n v="2500"/>
    <n v="2500"/>
    <n v="2500"/>
    <n v="2500"/>
    <n v="2500"/>
    <n v="2500"/>
    <n v="2500"/>
    <n v="2500"/>
    <n v="2500"/>
    <n v="2500"/>
    <n v="2500"/>
    <n v="2500"/>
    <n v="30000"/>
  </r>
  <r>
    <x v="0"/>
    <x v="0"/>
    <x v="6"/>
    <s v="Производственная деятельность"/>
    <s v="Расходы на канцтовары и обслуживание оргтехники"/>
    <s v="Директор производства"/>
    <x v="0"/>
    <x v="6"/>
    <s v="Расходы на канцтовары и обслуживание оргтехники"/>
    <x v="17"/>
    <m/>
    <m/>
    <n v="900"/>
    <n v="800"/>
    <n v="800"/>
    <n v="900"/>
    <n v="800"/>
    <n v="800"/>
    <n v="900"/>
    <n v="800"/>
    <n v="800"/>
    <n v="900"/>
    <n v="800"/>
    <n v="800"/>
    <n v="10000"/>
  </r>
  <r>
    <x v="0"/>
    <x v="0"/>
    <x v="6"/>
    <s v="Производственная деятельность"/>
    <s v="Расходы на налоги"/>
    <s v="Директор производства"/>
    <x v="0"/>
    <x v="3"/>
    <s v="Расходы на налоги"/>
    <x v="12"/>
    <m/>
    <m/>
    <n v="2388.44"/>
    <n v="2388.44"/>
    <n v="2388.44"/>
    <n v="2388.44"/>
    <n v="2388.44"/>
    <n v="2388.44"/>
    <n v="2388.44"/>
    <n v="2388.44"/>
    <n v="2388.44"/>
    <n v="2388.44"/>
    <n v="2388.44"/>
    <n v="2388.44"/>
    <n v="28661.279999999995"/>
  </r>
  <r>
    <x v="0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37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29"/>
    <m/>
    <m/>
    <n v="1800"/>
    <n v="1800"/>
    <n v="1800"/>
    <n v="1800"/>
    <n v="1800"/>
    <n v="1800"/>
    <n v="1800"/>
    <n v="1800"/>
    <n v="1800"/>
    <n v="1800"/>
    <n v="1800"/>
    <n v="1800"/>
    <n v="21600"/>
  </r>
  <r>
    <x v="0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90"/>
    <m/>
    <m/>
    <n v="700"/>
    <n v="700"/>
    <n v="700"/>
    <n v="700"/>
    <n v="700"/>
    <n v="700"/>
    <n v="700"/>
    <n v="700"/>
    <n v="700"/>
    <n v="700"/>
    <n v="700"/>
    <n v="700"/>
    <n v="8400"/>
  </r>
  <r>
    <x v="0"/>
    <x v="0"/>
    <x v="6"/>
    <s v="Производственная деятельность"/>
    <s v="Расходы на услуги сторонних организаций"/>
    <s v="Директор производства"/>
    <x v="0"/>
    <x v="8"/>
    <s v="Расходы на услуги сторонних организаций"/>
    <x v="27"/>
    <m/>
    <m/>
    <n v="1500"/>
    <n v="1500"/>
    <n v="1500"/>
    <n v="1500"/>
    <n v="1500"/>
    <n v="1500"/>
    <n v="1500"/>
    <n v="1500"/>
    <n v="1500"/>
    <n v="1500"/>
    <n v="1500"/>
    <n v="1500"/>
    <n v="18000"/>
  </r>
  <r>
    <x v="0"/>
    <x v="0"/>
    <x v="6"/>
    <s v="Производственная деятельность"/>
    <s v="Зарплата"/>
    <s v="КПП Завод"/>
    <x v="0"/>
    <x v="0"/>
    <s v="Зарплата"/>
    <x v="0"/>
    <m/>
    <m/>
    <n v="30380"/>
    <n v="30380"/>
    <n v="30380"/>
    <n v="30380"/>
    <n v="30380"/>
    <n v="30380"/>
    <n v="30380"/>
    <n v="30380"/>
    <n v="30380"/>
    <n v="30380"/>
    <n v="30380"/>
    <n v="30380"/>
    <n v="364560"/>
  </r>
  <r>
    <x v="0"/>
    <x v="0"/>
    <x v="6"/>
    <s v="Производственная деятельность"/>
    <s v="Расходы на канцтовары и обслуживание оргтехники"/>
    <s v="КПП Завод"/>
    <x v="0"/>
    <x v="6"/>
    <s v="Расходы на канцтовары и обслуживание оргтехники"/>
    <x v="17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6"/>
    <s v="Производственная деятельность"/>
    <s v="Расходы на налоги"/>
    <s v="КПП Завод"/>
    <x v="0"/>
    <x v="3"/>
    <s v="Расходы на налоги"/>
    <x v="12"/>
    <m/>
    <m/>
    <n v="7195.07"/>
    <n v="7195.07"/>
    <n v="7195.07"/>
    <n v="7195.07"/>
    <n v="7195.07"/>
    <n v="7195.07"/>
    <n v="7195.07"/>
    <n v="7195.07"/>
    <n v="7195.07"/>
    <n v="7195.07"/>
    <n v="7195.07"/>
    <n v="7195.07"/>
    <n v="86340.84"/>
  </r>
  <r>
    <x v="0"/>
    <x v="0"/>
    <x v="6"/>
    <s v="Производственная деятельность"/>
    <s v="Расходы на персонал"/>
    <s v="КПП Завод"/>
    <x v="0"/>
    <x v="7"/>
    <s v="Расходы на персонал"/>
    <x v="29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6"/>
    <s v="Производственная деятельность"/>
    <s v="Расходы на услуги сторонних организаций"/>
    <s v="КПП Завод"/>
    <x v="0"/>
    <x v="8"/>
    <s v="Расходы на услуги сторонних организаций"/>
    <x v="32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6"/>
    <s v="Производственная деятельность"/>
    <s v="Зарплата"/>
    <s v="Лаборатория"/>
    <x v="0"/>
    <x v="0"/>
    <s v="Зарплата"/>
    <x v="0"/>
    <m/>
    <m/>
    <n v="21916"/>
    <n v="24738"/>
    <n v="34772"/>
    <n v="34772"/>
    <n v="34772"/>
    <n v="34772"/>
    <n v="34772"/>
    <n v="34772"/>
    <n v="24738"/>
    <n v="24738"/>
    <n v="24738"/>
    <n v="24738"/>
    <n v="354238"/>
  </r>
  <r>
    <x v="0"/>
    <x v="0"/>
    <x v="6"/>
    <s v="Производственная деятельность"/>
    <s v="Расходы на канцтовары и обслуживание оргтехники"/>
    <s v="Лаборатория"/>
    <x v="0"/>
    <x v="6"/>
    <s v="Расходы на канцтовары и обслуживание оргтехники"/>
    <x v="17"/>
    <m/>
    <m/>
    <n v="500"/>
    <n v="500"/>
    <n v="500"/>
    <n v="500"/>
    <n v="500"/>
    <n v="500"/>
    <n v="500"/>
    <n v="500"/>
    <n v="500"/>
    <n v="500"/>
    <n v="500"/>
    <n v="500"/>
    <n v="6000"/>
  </r>
  <r>
    <x v="0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41"/>
    <m/>
    <m/>
    <n v="1200"/>
    <n v="1200"/>
    <n v="1200"/>
    <n v="1200"/>
    <n v="1200"/>
    <n v="1200"/>
    <n v="1200"/>
    <n v="1200"/>
    <n v="1200"/>
    <n v="1200"/>
    <n v="1200"/>
    <n v="1200"/>
    <n v="14400"/>
  </r>
  <r>
    <x v="0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91"/>
    <m/>
    <m/>
    <n v="7500"/>
    <n v="6900"/>
    <n v="6900"/>
    <n v="18500"/>
    <n v="6900"/>
    <n v="6900"/>
    <n v="7500"/>
    <n v="6900"/>
    <n v="6900"/>
    <n v="10500"/>
    <n v="6900"/>
    <n v="6900"/>
    <n v="99200"/>
  </r>
  <r>
    <x v="0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42"/>
    <m/>
    <m/>
    <n v="7700"/>
    <n v="8700"/>
    <n v="7000"/>
    <n v="7000"/>
    <n v="7000"/>
    <n v="7000"/>
    <n v="7000"/>
    <n v="7000"/>
    <n v="7000"/>
    <n v="7000"/>
    <n v="7000"/>
    <n v="7000"/>
    <n v="86400"/>
  </r>
  <r>
    <x v="0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92"/>
    <m/>
    <m/>
    <n v="3000"/>
    <n v="3000"/>
    <n v="3000"/>
    <n v="5000"/>
    <n v="5500"/>
    <n v="5500"/>
    <n v="6000"/>
    <n v="4500"/>
    <n v="4000"/>
    <n v="4500"/>
    <n v="4000"/>
    <n v="4000"/>
    <n v="52000"/>
  </r>
  <r>
    <x v="0"/>
    <x v="0"/>
    <x v="6"/>
    <s v="Производственная деятельность"/>
    <s v="Расходы на налоги"/>
    <s v="Лаборатория"/>
    <x v="0"/>
    <x v="3"/>
    <s v="Расходы на налоги"/>
    <x v="12"/>
    <m/>
    <m/>
    <n v="5172.4799999999996"/>
    <n v="5935.42"/>
    <n v="8560.32"/>
    <n v="8560.32"/>
    <n v="8560.32"/>
    <n v="8560.32"/>
    <n v="8560.32"/>
    <n v="8560.32"/>
    <n v="5935.42"/>
    <n v="5935.42"/>
    <n v="5935.42"/>
    <n v="5935.42"/>
    <n v="86211.5"/>
  </r>
  <r>
    <x v="0"/>
    <x v="2"/>
    <x v="6"/>
    <s v="Производственная деятельность"/>
    <s v="Расходы на услуги вет. службы"/>
    <s v="Лаборатория"/>
    <x v="0"/>
    <x v="21"/>
    <s v="Расходы на услуги вет. службы"/>
    <x v="71"/>
    <m/>
    <m/>
    <n v="20000"/>
    <n v="20000"/>
    <n v="22000"/>
    <n v="20000"/>
    <n v="20000"/>
    <n v="22000"/>
    <n v="20000"/>
    <n v="20000"/>
    <n v="22000"/>
    <n v="20000"/>
    <n v="22000"/>
    <n v="22000"/>
    <n v="250000"/>
  </r>
  <r>
    <x v="0"/>
    <x v="0"/>
    <x v="6"/>
    <s v="Производственная деятельность"/>
    <s v="Расходы на услуги сторонних организаций"/>
    <s v="Лаборатория"/>
    <x v="0"/>
    <x v="8"/>
    <s v="Расходы на услуги сторонних организаций"/>
    <x v="32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6"/>
    <s v="Производственная деятельность"/>
    <s v="Зарплата"/>
    <s v="Руководитель технического отдела"/>
    <x v="0"/>
    <x v="0"/>
    <s v="Зарплата"/>
    <x v="0"/>
    <m/>
    <m/>
    <n v="31111"/>
    <n v="31111"/>
    <n v="31111"/>
    <n v="31111"/>
    <n v="31111"/>
    <n v="31111"/>
    <n v="31111"/>
    <n v="31111"/>
    <n v="31111"/>
    <n v="31111"/>
    <n v="31111"/>
    <n v="31111"/>
    <n v="373332"/>
  </r>
  <r>
    <x v="0"/>
    <x v="0"/>
    <x v="6"/>
    <s v="Производственная деятельность"/>
    <s v="Расходы на канцтовары и обслуживание оргтехники"/>
    <s v="Руководитель технического отдела"/>
    <x v="0"/>
    <x v="6"/>
    <s v="Расходы на канцтовары и обслуживание оргтехники"/>
    <x v="17"/>
    <m/>
    <m/>
    <n v="200"/>
    <n v="200"/>
    <n v="250"/>
    <n v="250"/>
    <n v="250"/>
    <n v="250"/>
    <n v="250"/>
    <n v="200"/>
    <n v="200"/>
    <n v="200"/>
    <n v="200"/>
    <n v="200"/>
    <n v="2650"/>
  </r>
  <r>
    <x v="0"/>
    <x v="0"/>
    <x v="6"/>
    <s v="Производственная деятельность"/>
    <s v="Расходы на логистику"/>
    <s v="Руководитель технического отдела"/>
    <x v="0"/>
    <x v="12"/>
    <s v="Расходы на транспортировку"/>
    <x v="93"/>
    <m/>
    <m/>
    <n v="1000"/>
    <n v="1000"/>
    <n v="1500"/>
    <n v="2000"/>
    <n v="2000"/>
    <n v="2000"/>
    <n v="2000"/>
    <n v="1500"/>
    <n v="1500"/>
    <n v="1500"/>
    <n v="1500"/>
    <n v="1200"/>
    <n v="18700"/>
  </r>
  <r>
    <x v="0"/>
    <x v="0"/>
    <x v="6"/>
    <s v="Производственная деятельность"/>
    <s v="Расходы на налоги"/>
    <s v="Руководитель технического отдела"/>
    <x v="0"/>
    <x v="3"/>
    <s v="Расходы на налоги"/>
    <x v="12"/>
    <m/>
    <m/>
    <n v="3179.63"/>
    <n v="3179.63"/>
    <n v="3179.63"/>
    <n v="3179.63"/>
    <n v="3179.63"/>
    <n v="3179.63"/>
    <n v="3179.63"/>
    <n v="3179.63"/>
    <n v="3179.63"/>
    <n v="3179.63"/>
    <n v="3179.63"/>
    <n v="3179.63"/>
    <n v="38155.560000000005"/>
  </r>
  <r>
    <x v="0"/>
    <x v="0"/>
    <x v="6"/>
    <s v="Производственная деятельность"/>
    <s v="Зарплата"/>
    <s v="Служба главного энергетика"/>
    <x v="0"/>
    <x v="0"/>
    <s v="Зарплата"/>
    <x v="0"/>
    <m/>
    <m/>
    <n v="78269"/>
    <n v="78269"/>
    <n v="78269"/>
    <n v="78269"/>
    <n v="78269"/>
    <n v="78269"/>
    <n v="78269"/>
    <n v="78269"/>
    <n v="78269"/>
    <n v="78269"/>
    <n v="78269"/>
    <n v="78269"/>
    <n v="939228"/>
  </r>
  <r>
    <x v="0"/>
    <x v="0"/>
    <x v="6"/>
    <s v="Производственная деятельность"/>
    <s v="Зарплата"/>
    <s v="Служба главного энергетика"/>
    <x v="0"/>
    <x v="0"/>
    <s v="Зарплата"/>
    <x v="89"/>
    <m/>
    <m/>
    <n v="500"/>
    <n v="500"/>
    <n v="500"/>
    <n v="500"/>
    <n v="500"/>
    <n v="500"/>
    <n v="500"/>
    <n v="500"/>
    <n v="500"/>
    <n v="500"/>
    <n v="500"/>
    <n v="500"/>
    <n v="6000"/>
  </r>
  <r>
    <x v="0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35"/>
    <m/>
    <m/>
    <n v="15400"/>
    <n v="15400"/>
    <n v="15400"/>
    <n v="15400"/>
    <n v="15400"/>
    <n v="15400"/>
    <n v="15400"/>
    <n v="15400"/>
    <n v="15400"/>
    <n v="15400"/>
    <n v="15400"/>
    <n v="15400"/>
    <n v="184800"/>
  </r>
  <r>
    <x v="0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4"/>
    <m/>
    <m/>
    <n v="164500"/>
    <n v="170000"/>
    <n v="147250"/>
    <n v="150000"/>
    <n v="178600"/>
    <n v="178600"/>
    <n v="120000"/>
    <n v="100000"/>
    <n v="100000"/>
    <n v="80000"/>
    <n v="100000"/>
    <n v="150000"/>
    <n v="1638950"/>
  </r>
  <r>
    <x v="0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5"/>
    <m/>
    <m/>
    <n v="12500"/>
    <n v="12500"/>
    <n v="12500"/>
    <n v="12500"/>
    <n v="12500"/>
    <n v="12500"/>
    <n v="12500"/>
    <n v="12500"/>
    <n v="12500"/>
    <n v="12500"/>
    <n v="12500"/>
    <n v="12500"/>
    <n v="150000"/>
  </r>
  <r>
    <x v="0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6"/>
    <m/>
    <m/>
    <n v="533200"/>
    <n v="550000"/>
    <n v="558000"/>
    <n v="560000"/>
    <n v="998200"/>
    <n v="1000000"/>
    <n v="600000"/>
    <n v="550000"/>
    <n v="500000"/>
    <n v="490000"/>
    <n v="490000"/>
    <n v="490000"/>
    <n v="7319400"/>
  </r>
  <r>
    <x v="0"/>
    <x v="0"/>
    <x v="6"/>
    <s v="Производственная деятельность"/>
    <s v="Расходы на канцтовары и обслуживание оргтехники"/>
    <s v="Служба главного энергетика"/>
    <x v="0"/>
    <x v="6"/>
    <s v="Расходы на канцтовары и обслуживание оргтехники"/>
    <x v="17"/>
    <m/>
    <m/>
    <n v="200"/>
    <n v="200"/>
    <n v="200"/>
    <n v="200"/>
    <n v="200"/>
    <n v="200"/>
    <n v="200"/>
    <n v="200"/>
    <n v="200"/>
    <n v="200"/>
    <n v="200"/>
    <n v="200"/>
    <n v="2400"/>
  </r>
  <r>
    <x v="0"/>
    <x v="0"/>
    <x v="6"/>
    <s v="Производственная деятельность"/>
    <s v="Расходы на налоги"/>
    <s v="Служба главного энергетика"/>
    <x v="0"/>
    <x v="3"/>
    <s v="Расходы на налоги"/>
    <x v="12"/>
    <m/>
    <m/>
    <n v="17686.150000000001"/>
    <n v="17686.150000000001"/>
    <n v="17686.150000000001"/>
    <n v="17686.150000000001"/>
    <n v="17686.150000000001"/>
    <n v="17686.150000000001"/>
    <n v="17686.150000000001"/>
    <n v="17686.150000000001"/>
    <n v="17686.150000000001"/>
    <n v="17686.150000000001"/>
    <n v="17686.150000000001"/>
    <n v="17686.150000000001"/>
    <n v="212233.79999999996"/>
  </r>
  <r>
    <x v="0"/>
    <x v="0"/>
    <x v="6"/>
    <s v="Производственная деятельность"/>
    <s v="Расходы на персонал"/>
    <s v="Служба главного энергетика"/>
    <x v="0"/>
    <x v="7"/>
    <s v="Расходы на персонал"/>
    <x v="76"/>
    <m/>
    <m/>
    <m/>
    <m/>
    <m/>
    <m/>
    <m/>
    <m/>
    <n v="3400"/>
    <m/>
    <m/>
    <m/>
    <m/>
    <m/>
    <n v="3400"/>
  </r>
  <r>
    <x v="0"/>
    <x v="0"/>
    <x v="6"/>
    <s v="Производственная деятельность"/>
    <s v="Расходы на услуги сторонних организаций"/>
    <s v="Служба главного энергетика"/>
    <x v="0"/>
    <x v="8"/>
    <s v="Расходы на услуги сторонних организаций"/>
    <x v="32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2"/>
    <x v="6"/>
    <s v="Производственная деятельность"/>
    <s v="Ремонт ОС"/>
    <s v="Служба главного энергетика"/>
    <x v="0"/>
    <x v="17"/>
    <s v="Ремонт производственных ОС"/>
    <x v="97"/>
    <m/>
    <m/>
    <n v="67300"/>
    <n v="67300"/>
    <n v="91051"/>
    <n v="80033"/>
    <n v="80933"/>
    <n v="70813"/>
    <n v="65535"/>
    <n v="57905"/>
    <n v="68255"/>
    <n v="80600"/>
    <n v="80765"/>
    <n v="52300"/>
    <n v="862790"/>
  </r>
  <r>
    <x v="0"/>
    <x v="0"/>
    <x v="6"/>
    <s v="Производственная деятельность"/>
    <s v="Зарплата"/>
    <s v="Служба заготовки молока"/>
    <x v="0"/>
    <x v="0"/>
    <s v="Зарплата"/>
    <x v="0"/>
    <m/>
    <m/>
    <n v="11240"/>
    <n v="11240"/>
    <n v="11240"/>
    <n v="11240"/>
    <n v="11240"/>
    <n v="11240"/>
    <n v="11240"/>
    <n v="11240"/>
    <n v="11240"/>
    <n v="11240"/>
    <n v="11240"/>
    <n v="11240"/>
    <n v="134880"/>
  </r>
  <r>
    <x v="0"/>
    <x v="0"/>
    <x v="6"/>
    <s v="Производственная деятельность"/>
    <s v="Зарплата"/>
    <s v="Служба заготовки молока"/>
    <x v="0"/>
    <x v="0"/>
    <s v="Зарплата"/>
    <x v="89"/>
    <m/>
    <m/>
    <m/>
    <m/>
    <n v="4450"/>
    <n v="4475"/>
    <n v="5805"/>
    <n v="6205"/>
    <n v="5975"/>
    <n v="5420"/>
    <n v="4800"/>
    <n v="4250"/>
    <n v="3150"/>
    <n v="2930"/>
    <n v="47460"/>
  </r>
  <r>
    <x v="0"/>
    <x v="0"/>
    <x v="6"/>
    <s v="Производственная деятельность"/>
    <s v="Расходы на канцтовары и обслуживание оргтехники"/>
    <s v="Служба заготовки молока"/>
    <x v="0"/>
    <x v="6"/>
    <s v="Расходы на канцтовары и обслуживание оргтехники"/>
    <x v="17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6"/>
    <s v="Производственная деятельность"/>
    <s v="Расходы на контроль качества"/>
    <s v="Служба заготовки молока"/>
    <x v="0"/>
    <x v="13"/>
    <s v="Расходы на контроль качества"/>
    <x v="98"/>
    <m/>
    <m/>
    <n v="300"/>
    <n v="100"/>
    <n v="650"/>
    <n v="450"/>
    <n v="300"/>
    <n v="300"/>
    <n v="300"/>
    <n v="700"/>
    <n v="300"/>
    <n v="250"/>
    <n v="300"/>
    <n v="100"/>
    <n v="4050"/>
  </r>
  <r>
    <x v="0"/>
    <x v="0"/>
    <x v="6"/>
    <s v="Производственная деятельность"/>
    <s v="Расходы на налоги"/>
    <s v="Служба заготовки молока"/>
    <x v="0"/>
    <x v="3"/>
    <s v="Расходы на налоги"/>
    <x v="12"/>
    <m/>
    <m/>
    <n v="2308.13"/>
    <n v="2308.13"/>
    <n v="2308.13"/>
    <n v="2308.13"/>
    <n v="2308.13"/>
    <n v="2308.13"/>
    <n v="2308.13"/>
    <n v="2308.13"/>
    <n v="2308.13"/>
    <n v="2308.13"/>
    <n v="2308.13"/>
    <n v="2308.13"/>
    <n v="27697.560000000009"/>
  </r>
  <r>
    <x v="0"/>
    <x v="0"/>
    <x v="6"/>
    <s v="Производственная деятельность"/>
    <s v="Расходы на персонал"/>
    <s v="Служба заготовки молока"/>
    <x v="0"/>
    <x v="7"/>
    <s v="Расходы на персонал"/>
    <x v="76"/>
    <m/>
    <m/>
    <m/>
    <m/>
    <m/>
    <n v="150"/>
    <m/>
    <m/>
    <m/>
    <m/>
    <m/>
    <m/>
    <m/>
    <m/>
    <n v="150"/>
  </r>
  <r>
    <x v="0"/>
    <x v="0"/>
    <x v="6"/>
    <s v="Производственная деятельность"/>
    <s v="Расходы на услуги вет. службы"/>
    <s v="Служба заготовки молока"/>
    <x v="0"/>
    <x v="21"/>
    <s v="Расходы на услуги вет. службы"/>
    <x v="71"/>
    <m/>
    <m/>
    <n v="1600"/>
    <n v="1600"/>
    <n v="1600"/>
    <n v="1600"/>
    <n v="1600"/>
    <n v="1600"/>
    <n v="1600"/>
    <n v="1600"/>
    <n v="1600"/>
    <n v="1600"/>
    <n v="1600"/>
    <n v="1600"/>
    <n v="19200"/>
  </r>
  <r>
    <x v="0"/>
    <x v="0"/>
    <x v="6"/>
    <s v="Производственная деятельность"/>
    <s v="Расходы на услуги сторонних организаций"/>
    <s v="Служба заготовки молока"/>
    <x v="0"/>
    <x v="8"/>
    <s v="Расходы на услуги сторонних организаций"/>
    <x v="47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6"/>
    <s v="Производственная деятельность"/>
    <s v="Расходы на услуги сторонних организаций"/>
    <s v="Служба заготовки молока"/>
    <x v="0"/>
    <x v="8"/>
    <s v="Расходы на услуги сторонних организаций"/>
    <x v="32"/>
    <m/>
    <m/>
    <n v="50"/>
    <n v="250"/>
    <n v="300"/>
    <n v="50"/>
    <n v="2050"/>
    <n v="50"/>
    <n v="50"/>
    <n v="50"/>
    <n v="50"/>
    <n v="50"/>
    <n v="50"/>
    <n v="50"/>
    <n v="3050"/>
  </r>
  <r>
    <x v="0"/>
    <x v="0"/>
    <x v="6"/>
    <s v="Производственная деятельность"/>
    <s v="Зарплата"/>
    <s v="Служба механника ЗПФ"/>
    <x v="0"/>
    <x v="0"/>
    <s v="Зарплата"/>
    <x v="0"/>
    <m/>
    <m/>
    <n v="75480"/>
    <n v="75480"/>
    <n v="75480"/>
    <n v="80068"/>
    <n v="80068"/>
    <n v="80068"/>
    <n v="80068"/>
    <n v="80068"/>
    <n v="80068"/>
    <n v="80068"/>
    <n v="80068"/>
    <n v="80068"/>
    <n v="947052"/>
  </r>
  <r>
    <x v="0"/>
    <x v="0"/>
    <x v="6"/>
    <s v="Производственная деятельность"/>
    <s v="Расходы на канцтовары и обслуживание оргтехники"/>
    <s v="Служба механника ЗПФ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6"/>
    <s v="Производственная деятельность"/>
    <s v="Расходы на налоги"/>
    <s v="Служба механника ЗПФ"/>
    <x v="0"/>
    <x v="3"/>
    <s v="Расходы на налоги"/>
    <x v="12"/>
    <m/>
    <m/>
    <n v="18015.939999999999"/>
    <n v="18015.939999999999"/>
    <n v="18015.939999999999"/>
    <n v="18610.82"/>
    <n v="18610.82"/>
    <n v="18610.82"/>
    <n v="18610.82"/>
    <n v="18610.82"/>
    <n v="18610.82"/>
    <n v="18610.82"/>
    <n v="18610.82"/>
    <n v="18610.82"/>
    <n v="221545.20000000004"/>
  </r>
  <r>
    <x v="0"/>
    <x v="0"/>
    <x v="6"/>
    <s v="Производственная деятельность"/>
    <s v="Расходы на персонал"/>
    <s v="Служба механника ЗПФ"/>
    <x v="0"/>
    <x v="7"/>
    <s v="Расходы на персонал"/>
    <x v="76"/>
    <s v="Забарний Віталій Володимирович"/>
    <m/>
    <n v="400"/>
    <n v="2000"/>
    <n v="200"/>
    <n v="200"/>
    <n v="5500"/>
    <n v="200"/>
    <n v="200"/>
    <n v="200"/>
    <n v="200"/>
    <n v="200"/>
    <n v="200"/>
    <n v="200"/>
    <n v="9700"/>
  </r>
  <r>
    <x v="0"/>
    <x v="0"/>
    <x v="6"/>
    <s v="Производственная деятельность"/>
    <s v="Расходы на услуги сторонних организаций"/>
    <s v="Служба механника ЗПФ"/>
    <x v="0"/>
    <x v="8"/>
    <s v="Расходы на услуги сторонних организаций"/>
    <x v="32"/>
    <m/>
    <m/>
    <n v="150"/>
    <n v="150"/>
    <n v="150"/>
    <n v="150"/>
    <n v="150"/>
    <n v="150"/>
    <n v="150"/>
    <n v="150"/>
    <n v="150"/>
    <n v="150"/>
    <n v="150"/>
    <n v="150"/>
    <n v="1800"/>
  </r>
  <r>
    <x v="0"/>
    <x v="2"/>
    <x v="6"/>
    <s v="Производственная деятельность"/>
    <s v="Ремонт ОС"/>
    <s v="Служба механника ЗПФ"/>
    <x v="0"/>
    <x v="17"/>
    <s v="Ремонт производственных ОС"/>
    <x v="99"/>
    <m/>
    <m/>
    <n v="46900"/>
    <n v="40000"/>
    <n v="56900"/>
    <n v="60000"/>
    <n v="56900"/>
    <n v="60000"/>
    <n v="66900"/>
    <n v="60000"/>
    <n v="66900"/>
    <n v="60000"/>
    <n v="61900"/>
    <n v="50000"/>
    <n v="686400"/>
  </r>
  <r>
    <x v="0"/>
    <x v="0"/>
    <x v="6"/>
    <s v="Производственная деятельность"/>
    <s v="Зарплата"/>
    <s v="Служба механника Мороженого"/>
    <x v="0"/>
    <x v="0"/>
    <s v="Зарплата"/>
    <x v="0"/>
    <m/>
    <m/>
    <n v="57276"/>
    <n v="57276"/>
    <n v="57276"/>
    <n v="65564"/>
    <n v="65564"/>
    <n v="65564"/>
    <n v="65564"/>
    <n v="65564"/>
    <n v="65564"/>
    <n v="65564"/>
    <n v="65564"/>
    <n v="65564"/>
    <n v="761904"/>
  </r>
  <r>
    <x v="0"/>
    <x v="0"/>
    <x v="6"/>
    <s v="Производственная деятельность"/>
    <s v="Расходы на канцтовары и обслуживание оргтехники"/>
    <s v="Служба механника Мороженого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6"/>
    <s v="Производственная деятельность"/>
    <s v="Расходы на налоги"/>
    <s v="Служба механника Мороженого"/>
    <x v="0"/>
    <x v="3"/>
    <s v="Расходы на налоги"/>
    <x v="12"/>
    <m/>
    <m/>
    <n v="14315.79"/>
    <n v="14315.79"/>
    <n v="14315.79"/>
    <n v="16489.330000000002"/>
    <n v="16489.330000000002"/>
    <n v="16489.330000000002"/>
    <n v="16489.330000000002"/>
    <n v="16489.330000000002"/>
    <n v="16489.330000000002"/>
    <n v="16489.330000000002"/>
    <n v="16489.330000000002"/>
    <n v="16489.330000000002"/>
    <n v="191351.34000000003"/>
  </r>
  <r>
    <x v="0"/>
    <x v="0"/>
    <x v="6"/>
    <s v="Производственная деятельность"/>
    <s v="Расходы на персонал"/>
    <s v="Служба механника Мороженого"/>
    <x v="0"/>
    <x v="7"/>
    <s v="Расходы на персонал"/>
    <x v="76"/>
    <m/>
    <m/>
    <n v="400"/>
    <n v="180"/>
    <n v="150"/>
    <n v="150"/>
    <n v="5500"/>
    <n v="150"/>
    <n v="150"/>
    <n v="150"/>
    <n v="150"/>
    <n v="150"/>
    <n v="150"/>
    <n v="150"/>
    <n v="7430"/>
  </r>
  <r>
    <x v="0"/>
    <x v="0"/>
    <x v="6"/>
    <s v="Производственная деятельность"/>
    <s v="Расходы на услуги сторонних организаций"/>
    <s v="Служба механника Мороженого"/>
    <x v="0"/>
    <x v="8"/>
    <s v="Расходы на услуги сторонних организаций"/>
    <x v="32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2"/>
    <x v="6"/>
    <s v="Производственная деятельность"/>
    <s v="Ремонт ОС"/>
    <s v="Служба механника Мороженого"/>
    <x v="0"/>
    <x v="17"/>
    <s v="Ремонт производственных ОС"/>
    <x v="99"/>
    <m/>
    <m/>
    <n v="81000"/>
    <n v="80000"/>
    <n v="31000"/>
    <n v="40000"/>
    <n v="63900"/>
    <n v="63900"/>
    <n v="63900"/>
    <n v="63900"/>
    <n v="63900"/>
    <n v="60000"/>
    <n v="71000"/>
    <n v="80000"/>
    <n v="762500"/>
  </r>
  <r>
    <x v="0"/>
    <x v="0"/>
    <x v="6"/>
    <s v="Производственная деятельность"/>
    <s v="Зарплата"/>
    <s v="Служба.обслуж.холод.оборуд."/>
    <x v="0"/>
    <x v="0"/>
    <s v="Зарплата"/>
    <x v="0"/>
    <m/>
    <m/>
    <n v="59641"/>
    <n v="59641"/>
    <n v="59641"/>
    <n v="59641"/>
    <n v="59641"/>
    <n v="59641"/>
    <n v="59641"/>
    <n v="59641"/>
    <n v="59641"/>
    <n v="59641"/>
    <n v="59641"/>
    <n v="59641"/>
    <n v="715692"/>
  </r>
  <r>
    <x v="0"/>
    <x v="0"/>
    <x v="6"/>
    <s v="Производственная деятельность"/>
    <s v="Расходы на канцтовары и обслуживание оргтехники"/>
    <s v="Служба.обслуж.холод.оборуд."/>
    <x v="0"/>
    <x v="6"/>
    <s v="Расходы на канцтовары и обслуживание оргтехники"/>
    <x v="17"/>
    <m/>
    <m/>
    <n v="100"/>
    <n v="100"/>
    <n v="150"/>
    <n v="150"/>
    <n v="150"/>
    <n v="150"/>
    <n v="150"/>
    <n v="150"/>
    <n v="150"/>
    <n v="150"/>
    <n v="150"/>
    <n v="150"/>
    <n v="1700"/>
  </r>
  <r>
    <x v="0"/>
    <x v="0"/>
    <x v="6"/>
    <s v="Производственная деятельность"/>
    <s v="Расходы на налоги"/>
    <s v="Служба.обслуж.холод.оборуд."/>
    <x v="0"/>
    <x v="3"/>
    <s v="Расходы на налоги"/>
    <x v="12"/>
    <m/>
    <m/>
    <n v="11867.48"/>
    <n v="11867.48"/>
    <n v="11867.48"/>
    <n v="11867.48"/>
    <n v="11867.48"/>
    <n v="11867.48"/>
    <n v="11867.48"/>
    <n v="11867.48"/>
    <n v="11867.48"/>
    <n v="11867.48"/>
    <n v="11867.48"/>
    <n v="11867.48"/>
    <n v="142409.75999999998"/>
  </r>
  <r>
    <x v="0"/>
    <x v="0"/>
    <x v="6"/>
    <s v="Производственная деятельность"/>
    <s v="Расходы на услуги сторонних организаций"/>
    <s v="Служба.обслуж.холод.оборуд."/>
    <x v="0"/>
    <x v="8"/>
    <s v="Расходы на услуги сторонних организаций"/>
    <x v="32"/>
    <m/>
    <m/>
    <n v="150"/>
    <n v="150"/>
    <n v="300"/>
    <n v="300"/>
    <n v="300"/>
    <n v="300"/>
    <n v="300"/>
    <n v="300"/>
    <n v="300"/>
    <n v="300"/>
    <n v="300"/>
    <n v="300"/>
    <n v="3300"/>
  </r>
  <r>
    <x v="0"/>
    <x v="2"/>
    <x v="6"/>
    <s v="Производственная деятельность"/>
    <s v="Ремонт ОС"/>
    <s v="Служба.обслуж.холод.оборуд."/>
    <x v="0"/>
    <x v="17"/>
    <s v="Ремонт производственных ОС"/>
    <x v="100"/>
    <m/>
    <m/>
    <n v="12000"/>
    <n v="8000"/>
    <n v="27000"/>
    <n v="21000"/>
    <n v="20000"/>
    <n v="24000"/>
    <n v="24000"/>
    <n v="20000"/>
    <n v="11000"/>
    <n v="11000"/>
    <n v="11000"/>
    <n v="11000"/>
    <n v="200000"/>
  </r>
  <r>
    <x v="0"/>
    <x v="2"/>
    <x v="6"/>
    <s v="Производственная деятельность"/>
    <s v="Ремонт ОС"/>
    <s v="Служба.обслуж.холод.оборуд."/>
    <x v="0"/>
    <x v="17"/>
    <s v="Ремонт торговых ОС"/>
    <x v="66"/>
    <m/>
    <m/>
    <n v="10000"/>
    <n v="10000"/>
    <n v="10000"/>
    <n v="12000"/>
    <n v="8000"/>
    <n v="8000"/>
    <n v="4000"/>
    <n v="4000"/>
    <n v="5000"/>
    <n v="10000"/>
    <n v="10000"/>
    <n v="10000"/>
    <n v="101000"/>
  </r>
  <r>
    <x v="0"/>
    <x v="0"/>
    <x v="6"/>
    <s v="Производственная деятельность"/>
    <s v="Зарплата"/>
    <s v="Строит.и ремонтно.мех.участок"/>
    <x v="0"/>
    <x v="0"/>
    <s v="Зарплата"/>
    <x v="0"/>
    <m/>
    <m/>
    <n v="35794"/>
    <n v="35794"/>
    <n v="35794"/>
    <n v="35794"/>
    <n v="35794"/>
    <n v="35794"/>
    <n v="35794"/>
    <n v="35794"/>
    <n v="35794"/>
    <n v="35794"/>
    <n v="35794"/>
    <n v="35794"/>
    <n v="429528"/>
  </r>
  <r>
    <x v="0"/>
    <x v="0"/>
    <x v="6"/>
    <s v="Производственная деятельность"/>
    <s v="Расходы на канцтовары и обслуживание оргтехники"/>
    <s v="Строит.и ремонтно.мех.участок"/>
    <x v="0"/>
    <x v="6"/>
    <s v="Расходы на канцтовары и обслуживание оргтехники"/>
    <x v="17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6"/>
    <s v="Производственная деятельность"/>
    <s v="Расходы на налоги"/>
    <s v="Строит.и ремонтно.мех.участок"/>
    <x v="0"/>
    <x v="3"/>
    <s v="Расходы на налоги"/>
    <x v="12"/>
    <m/>
    <m/>
    <n v="8825.0400000000009"/>
    <n v="8825.0400000000009"/>
    <n v="8825.0400000000009"/>
    <n v="8825.0400000000009"/>
    <n v="8825.0400000000009"/>
    <n v="8825.0400000000009"/>
    <n v="8825.0400000000009"/>
    <n v="8825.0400000000009"/>
    <n v="8825.0400000000009"/>
    <n v="8825.0400000000009"/>
    <n v="8825.0400000000009"/>
    <n v="8825.0400000000009"/>
    <n v="105900.48000000004"/>
  </r>
  <r>
    <x v="0"/>
    <x v="0"/>
    <x v="6"/>
    <s v="Производственная деятельность"/>
    <s v="Расходы на персонал"/>
    <s v="Строит.и ремонтно.мех.участок"/>
    <x v="0"/>
    <x v="7"/>
    <s v="Расходы на персонал"/>
    <x v="76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6"/>
    <s v="Производственная деятельность"/>
    <s v="Расходы на услуги сторонних организаций"/>
    <s v="Строит.и ремонтно.мех.участок"/>
    <x v="0"/>
    <x v="8"/>
    <s v="Расходы на услуги сторонних организаций"/>
    <x v="32"/>
    <m/>
    <m/>
    <n v="50"/>
    <n v="50"/>
    <n v="50"/>
    <n v="50"/>
    <n v="50"/>
    <n v="50"/>
    <n v="50"/>
    <n v="50"/>
    <n v="50"/>
    <n v="50"/>
    <n v="50"/>
    <n v="50"/>
    <n v="600"/>
  </r>
  <r>
    <x v="0"/>
    <x v="0"/>
    <x v="6"/>
    <s v="Производственная деятельность"/>
    <s v="Ремонт ОС"/>
    <s v="Строит.и ремонтно.мех.участок"/>
    <x v="0"/>
    <x v="17"/>
    <s v="Ремонт прочих ОС"/>
    <x v="65"/>
    <m/>
    <m/>
    <n v="5000"/>
    <n v="5000"/>
    <n v="5000"/>
    <n v="5000"/>
    <n v="5000"/>
    <n v="5000"/>
    <n v="5000"/>
    <n v="5000"/>
    <n v="5000"/>
    <n v="5000"/>
    <n v="5000"/>
    <n v="5000"/>
    <n v="60000"/>
  </r>
  <r>
    <x v="0"/>
    <x v="0"/>
    <x v="6"/>
    <s v="Производственная деятельность"/>
    <s v="Зарплата"/>
    <s v="Технолог ЗПФ"/>
    <x v="0"/>
    <x v="0"/>
    <s v="Зарплата"/>
    <x v="0"/>
    <m/>
    <m/>
    <n v="17168"/>
    <n v="17168"/>
    <n v="17168"/>
    <n v="17168"/>
    <n v="17168"/>
    <n v="17168"/>
    <n v="17168"/>
    <n v="17168"/>
    <n v="17168"/>
    <n v="17168"/>
    <n v="17168"/>
    <n v="17168"/>
    <n v="206016"/>
  </r>
  <r>
    <x v="0"/>
    <x v="0"/>
    <x v="6"/>
    <s v="Производственная деятельность"/>
    <s v="Расходы на канцтовары и обслуживание оргтехники"/>
    <s v="Технолог ЗПФ"/>
    <x v="0"/>
    <x v="6"/>
    <s v="Расходы на канцтовары и обслуживание оргтехники"/>
    <x v="17"/>
    <m/>
    <m/>
    <n v="100"/>
    <n v="100"/>
    <n v="100"/>
    <n v="100"/>
    <n v="100"/>
    <n v="100"/>
    <n v="100"/>
    <n v="100"/>
    <n v="100"/>
    <n v="100"/>
    <n v="100"/>
    <n v="100"/>
    <n v="1200"/>
  </r>
  <r>
    <x v="0"/>
    <x v="0"/>
    <x v="6"/>
    <s v="Производственная деятельность"/>
    <s v="Расходы на налоги"/>
    <s v="Технолог ЗПФ"/>
    <x v="0"/>
    <x v="3"/>
    <s v="Расходы на налоги"/>
    <x v="12"/>
    <m/>
    <m/>
    <n v="1844.13"/>
    <n v="1844.13"/>
    <n v="1844.13"/>
    <n v="1844.13"/>
    <n v="1844.13"/>
    <n v="1844.13"/>
    <n v="1844.13"/>
    <n v="1844.13"/>
    <n v="1844.13"/>
    <n v="1844.13"/>
    <n v="1844.13"/>
    <n v="1844.13"/>
    <n v="22129.560000000009"/>
  </r>
  <r>
    <x v="0"/>
    <x v="0"/>
    <x v="6"/>
    <s v="Производственная деятельность"/>
    <s v="Расходы на персонал"/>
    <s v="Технолог ЗПФ"/>
    <x v="0"/>
    <x v="7"/>
    <s v="Расходы на персонал"/>
    <x v="25"/>
    <m/>
    <m/>
    <m/>
    <m/>
    <m/>
    <m/>
    <m/>
    <m/>
    <m/>
    <m/>
    <m/>
    <m/>
    <m/>
    <n v="1100"/>
    <n v="1100"/>
  </r>
  <r>
    <x v="0"/>
    <x v="0"/>
    <x v="6"/>
    <s v="Производственная деятельность"/>
    <s v="Зарплата"/>
    <s v="Технолог Мороженое"/>
    <x v="0"/>
    <x v="0"/>
    <s v="Зарплата"/>
    <x v="0"/>
    <m/>
    <m/>
    <n v="17168"/>
    <n v="17168"/>
    <n v="17168"/>
    <n v="17168"/>
    <n v="17168"/>
    <n v="17168"/>
    <n v="17168"/>
    <n v="17168"/>
    <n v="17168"/>
    <n v="17168"/>
    <n v="17168"/>
    <n v="17168"/>
    <n v="206016"/>
  </r>
  <r>
    <x v="0"/>
    <x v="0"/>
    <x v="6"/>
    <s v="Производственная деятельность"/>
    <s v="Расходы на канцтовары и обслуживание оргтехники"/>
    <s v="Технолог Мороженое"/>
    <x v="0"/>
    <x v="6"/>
    <s v="Расходы на канцтовары и обслуживание оргтехники"/>
    <x v="17"/>
    <m/>
    <m/>
    <n v="160"/>
    <n v="150"/>
    <n v="150"/>
    <n v="150"/>
    <n v="150"/>
    <n v="150"/>
    <n v="150"/>
    <n v="150"/>
    <n v="150"/>
    <n v="150"/>
    <n v="150"/>
    <n v="150"/>
    <n v="1810"/>
  </r>
  <r>
    <x v="0"/>
    <x v="0"/>
    <x v="6"/>
    <s v="Производственная деятельность"/>
    <s v="Расходы на налоги"/>
    <s v="Технолог Мороженое"/>
    <x v="0"/>
    <x v="3"/>
    <s v="Расходы на налоги"/>
    <x v="12"/>
    <m/>
    <m/>
    <n v="1844.13"/>
    <n v="1844.13"/>
    <n v="1844.13"/>
    <n v="1844.13"/>
    <n v="1844.13"/>
    <n v="1844.13"/>
    <n v="1844.13"/>
    <n v="1844.13"/>
    <n v="1844.13"/>
    <n v="1844.13"/>
    <n v="1844.13"/>
    <n v="1844.13"/>
    <n v="22129.560000000009"/>
  </r>
  <r>
    <x v="0"/>
    <x v="0"/>
    <x v="6"/>
    <s v="Производственная деятельность"/>
    <s v="Расходы на персонал"/>
    <s v="Технолог Мороженое"/>
    <x v="0"/>
    <x v="7"/>
    <s v="Расходы на персонал"/>
    <x v="25"/>
    <m/>
    <m/>
    <m/>
    <m/>
    <m/>
    <m/>
    <n v="500"/>
    <m/>
    <m/>
    <m/>
    <m/>
    <m/>
    <n v="800"/>
    <m/>
    <n v="1300"/>
  </r>
  <r>
    <x v="0"/>
    <x v="0"/>
    <x v="6"/>
    <s v="Производственная деятельность"/>
    <s v="Расходы на персонал"/>
    <s v="Технолог Мороженое"/>
    <x v="0"/>
    <x v="7"/>
    <s v="Расходы на персонал"/>
    <x v="76"/>
    <m/>
    <m/>
    <m/>
    <m/>
    <n v="750"/>
    <m/>
    <m/>
    <m/>
    <m/>
    <m/>
    <m/>
    <m/>
    <m/>
    <m/>
    <n v="750"/>
  </r>
  <r>
    <x v="0"/>
    <x v="0"/>
    <x v="6"/>
    <s v="Производственная деятельность"/>
    <s v="Расходы на услуги сторонних организаций"/>
    <s v="Технолог Мороженое"/>
    <x v="0"/>
    <x v="8"/>
    <s v="Расходы на услуги сторонних организаций"/>
    <x v="32"/>
    <m/>
    <m/>
    <n v="100"/>
    <n v="100"/>
    <n v="400"/>
    <n v="100"/>
    <n v="100"/>
    <n v="100"/>
    <n v="100"/>
    <n v="100"/>
    <n v="100"/>
    <n v="100"/>
    <n v="100"/>
    <n v="100"/>
    <n v="1500"/>
  </r>
  <r>
    <x v="0"/>
    <x v="0"/>
    <x v="6"/>
    <s v="Производственная деятельность"/>
    <s v="Аренда"/>
    <s v="Хозяйственный отдел завода"/>
    <x v="0"/>
    <x v="9"/>
    <s v="Аренда"/>
    <x v="28"/>
    <m/>
    <m/>
    <n v="9200"/>
    <n v="9200"/>
    <n v="9200"/>
    <n v="9200"/>
    <n v="9200"/>
    <n v="9200"/>
    <n v="9200"/>
    <n v="9200"/>
    <n v="9200"/>
    <n v="9200"/>
    <n v="9200"/>
    <n v="9200"/>
    <n v="110400"/>
  </r>
  <r>
    <x v="0"/>
    <x v="0"/>
    <x v="6"/>
    <s v="Производственная деятельность"/>
    <s v="Зарплата"/>
    <s v="Хозяйственный отдел завода"/>
    <x v="0"/>
    <x v="0"/>
    <s v="Зарплата"/>
    <x v="0"/>
    <m/>
    <m/>
    <n v="18812"/>
    <n v="18812"/>
    <n v="18812"/>
    <n v="18812"/>
    <n v="18812"/>
    <n v="18812"/>
    <n v="18812"/>
    <n v="18812"/>
    <n v="18812"/>
    <n v="18812"/>
    <n v="18812"/>
    <n v="18812"/>
    <n v="225744"/>
  </r>
  <r>
    <x v="0"/>
    <x v="0"/>
    <x v="6"/>
    <s v="Производственная деятельность"/>
    <s v="Коммунальные расходы"/>
    <s v="Хозяйственный отдел завода"/>
    <x v="0"/>
    <x v="11"/>
    <s v="Коммунальные расходы"/>
    <x v="101"/>
    <m/>
    <m/>
    <n v="2200"/>
    <n v="2200"/>
    <n v="3000"/>
    <n v="3000"/>
    <n v="3000"/>
    <n v="3000"/>
    <n v="3000"/>
    <n v="2500"/>
    <n v="2500"/>
    <n v="2500"/>
    <n v="2500"/>
    <n v="2500"/>
    <n v="31900"/>
  </r>
  <r>
    <x v="0"/>
    <x v="0"/>
    <x v="6"/>
    <s v="Производственная деятельность"/>
    <s v="Расходы на канцтовары и обслуживание оргтехники"/>
    <s v="Хозяйственный отдел завода"/>
    <x v="0"/>
    <x v="6"/>
    <s v="Расходы на канцтовары и обслуживание оргтехники"/>
    <x v="17"/>
    <m/>
    <m/>
    <n v="30"/>
    <n v="30"/>
    <n v="30"/>
    <n v="30"/>
    <n v="30"/>
    <n v="30"/>
    <n v="30"/>
    <n v="30"/>
    <n v="30"/>
    <n v="30"/>
    <n v="30"/>
    <n v="30"/>
    <n v="360"/>
  </r>
  <r>
    <x v="0"/>
    <x v="0"/>
    <x v="6"/>
    <s v="Производственная деятельность"/>
    <s v="Расходы на логистику"/>
    <s v="Хозяйственный отдел завода"/>
    <x v="0"/>
    <x v="12"/>
    <s v="Расходы на транспортировку"/>
    <x v="93"/>
    <m/>
    <m/>
    <n v="150"/>
    <n v="150"/>
    <n v="150"/>
    <n v="300"/>
    <n v="300"/>
    <n v="300"/>
    <n v="300"/>
    <n v="300"/>
    <n v="300"/>
    <n v="300"/>
    <n v="300"/>
    <n v="300"/>
    <n v="3150"/>
  </r>
  <r>
    <x v="0"/>
    <x v="0"/>
    <x v="6"/>
    <s v="Производственная деятельность"/>
    <s v="Расходы на налоги"/>
    <s v="Хозяйственный отдел завода"/>
    <x v="0"/>
    <x v="3"/>
    <s v="Расходы на налоги"/>
    <x v="12"/>
    <m/>
    <m/>
    <n v="4867.9799999999996"/>
    <n v="4867.9799999999996"/>
    <n v="4867.9799999999996"/>
    <n v="4867.9799999999996"/>
    <n v="4867.9799999999996"/>
    <n v="4867.9799999999996"/>
    <n v="4867.9799999999996"/>
    <n v="4867.9799999999996"/>
    <n v="4867.9799999999996"/>
    <n v="4867.9799999999996"/>
    <n v="4867.9799999999996"/>
    <n v="4867.9799999999996"/>
    <n v="58415.75999999998"/>
  </r>
  <r>
    <x v="0"/>
    <x v="0"/>
    <x v="6"/>
    <s v="Производственная деятельность"/>
    <s v="Расходы на персонал"/>
    <s v="Хозяйственный отдел завода"/>
    <x v="0"/>
    <x v="7"/>
    <s v="Расходы на персонал"/>
    <x v="90"/>
    <m/>
    <m/>
    <n v="8000"/>
    <n v="8000"/>
    <n v="10000"/>
    <n v="10000"/>
    <n v="10000"/>
    <n v="10000"/>
    <n v="10000"/>
    <n v="10000"/>
    <n v="8500"/>
    <n v="8500"/>
    <n v="8500"/>
    <n v="8500"/>
    <n v="110000"/>
  </r>
  <r>
    <x v="0"/>
    <x v="0"/>
    <x v="6"/>
    <s v="Производственная деятельность"/>
    <s v="Расходы на услуги сторонних организаций"/>
    <s v="Хозяйственный отдел завода"/>
    <x v="0"/>
    <x v="8"/>
    <s v="Расходы на услуги сторонних организаций"/>
    <x v="47"/>
    <m/>
    <m/>
    <n v="350"/>
    <n v="350"/>
    <n v="350"/>
    <n v="350"/>
    <n v="350"/>
    <n v="350"/>
    <n v="350"/>
    <n v="350"/>
    <n v="350"/>
    <n v="300"/>
    <n v="300"/>
    <n v="300"/>
    <n v="4050"/>
  </r>
  <r>
    <x v="0"/>
    <x v="0"/>
    <x v="6"/>
    <s v="Производственная деятельность"/>
    <s v="Расходы на услуги сторонних организаций"/>
    <s v="Хозяйственный отдел завода"/>
    <x v="0"/>
    <x v="8"/>
    <s v="Расходы на услуги сторонних организаций"/>
    <x v="32"/>
    <m/>
    <m/>
    <n v="1000"/>
    <n v="2000"/>
    <n v="2500"/>
    <n v="3000"/>
    <n v="3000"/>
    <n v="3000"/>
    <n v="3000"/>
    <n v="2500"/>
    <n v="2000"/>
    <n v="2000"/>
    <n v="2000"/>
    <n v="2000"/>
    <n v="28000"/>
  </r>
  <r>
    <x v="0"/>
    <x v="2"/>
    <x v="6"/>
    <s v="Производственная деятельность"/>
    <s v="Зарплата"/>
    <s v="ЦЕХ производства ЗПФ"/>
    <x v="0"/>
    <x v="0"/>
    <s v="Зарплата"/>
    <x v="0"/>
    <m/>
    <m/>
    <n v="273772"/>
    <n v="286347"/>
    <n v="207244.05767730498"/>
    <n v="168230.69687706855"/>
    <n v="169813.68327304965"/>
    <n v="182121.13341843971"/>
    <n v="204085.7151962175"/>
    <n v="200213.84378794327"/>
    <n v="203701.73790543736"/>
    <n v="204851.23790543736"/>
    <n v="200135.20796099291"/>
    <n v="205405.41837352244"/>
    <n v="2505921.7323754136"/>
  </r>
  <r>
    <x v="0"/>
    <x v="0"/>
    <x v="6"/>
    <s v="Производственная деятельность"/>
    <s v="Расходы на канцтовары и обслуживание оргтехники"/>
    <s v="ЦЕХ производства ЗПФ"/>
    <x v="0"/>
    <x v="6"/>
    <s v="Расходы на канцтовары и обслуживание оргтехники"/>
    <x v="17"/>
    <m/>
    <m/>
    <n v="300"/>
    <n v="300"/>
    <n v="300"/>
    <n v="300"/>
    <n v="300"/>
    <n v="300"/>
    <n v="300"/>
    <n v="300"/>
    <n v="300"/>
    <n v="300"/>
    <n v="300"/>
    <n v="300"/>
    <n v="3600"/>
  </r>
  <r>
    <x v="0"/>
    <x v="0"/>
    <x v="6"/>
    <s v="Производственная деятельность"/>
    <s v="Расходы на контроль качества"/>
    <s v="ЦЕХ производства ЗПФ"/>
    <x v="0"/>
    <x v="13"/>
    <s v="Расходы на контроль качества"/>
    <x v="98"/>
    <m/>
    <m/>
    <n v="9000"/>
    <n v="9000"/>
    <n v="9000"/>
    <n v="9000"/>
    <n v="9000"/>
    <n v="9000"/>
    <n v="9000"/>
    <n v="9000"/>
    <n v="9000"/>
    <n v="9000"/>
    <n v="9000"/>
    <n v="9000"/>
    <n v="108000"/>
  </r>
  <r>
    <x v="0"/>
    <x v="0"/>
    <x v="6"/>
    <s v="Производственная деятельность"/>
    <s v="Расходы на налоги"/>
    <s v="ЦЕХ производства ЗПФ"/>
    <x v="0"/>
    <x v="3"/>
    <s v="Расходы на налоги"/>
    <x v="12"/>
    <m/>
    <m/>
    <n v="86868.47"/>
    <n v="86868.47"/>
    <n v="86868.47"/>
    <n v="86868.47"/>
    <n v="86868.47"/>
    <n v="86868.47"/>
    <n v="86868.47"/>
    <n v="86868.47"/>
    <n v="86868.47"/>
    <n v="86868.47"/>
    <n v="86868.47"/>
    <n v="86868.47"/>
    <n v="1042421.6399999998"/>
  </r>
  <r>
    <x v="0"/>
    <x v="0"/>
    <x v="6"/>
    <s v="Производственная деятельность"/>
    <s v="Расходы на персонал"/>
    <s v="ЦЕХ производства ЗПФ"/>
    <x v="0"/>
    <x v="7"/>
    <s v="Расходы на персонал"/>
    <x v="76"/>
    <m/>
    <m/>
    <n v="5896"/>
    <n v="5896"/>
    <n v="5896"/>
    <n v="5896"/>
    <n v="5896"/>
    <n v="5896"/>
    <n v="5896"/>
    <n v="5896"/>
    <n v="5896"/>
    <n v="5896"/>
    <n v="5896"/>
    <n v="5896"/>
    <n v="70752"/>
  </r>
  <r>
    <x v="0"/>
    <x v="0"/>
    <x v="6"/>
    <s v="Производственная деятельность"/>
    <s v="Расходы на персонал"/>
    <s v="ЦЕХ производства ЗПФ"/>
    <x v="0"/>
    <x v="7"/>
    <s v="Расходы на персонал"/>
    <x v="26"/>
    <m/>
    <m/>
    <n v="500"/>
    <n v="400"/>
    <n v="400"/>
    <n v="500"/>
    <n v="400"/>
    <n v="400"/>
    <n v="500"/>
    <n v="400"/>
    <n v="500"/>
    <n v="400"/>
    <n v="400"/>
    <n v="500"/>
    <n v="5300"/>
  </r>
  <r>
    <x v="0"/>
    <x v="0"/>
    <x v="6"/>
    <s v="Производственная деятельность"/>
    <s v="Расходы на списание"/>
    <s v="ЦЕХ производства ЗПФ"/>
    <x v="0"/>
    <x v="22"/>
    <s v="Расходы на списание"/>
    <x v="77"/>
    <m/>
    <m/>
    <n v="3380"/>
    <m/>
    <m/>
    <n v="3380"/>
    <m/>
    <m/>
    <n v="3380"/>
    <m/>
    <m/>
    <n v="3380"/>
    <m/>
    <m/>
    <n v="13520"/>
  </r>
  <r>
    <x v="0"/>
    <x v="0"/>
    <x v="6"/>
    <s v="Производственная деятельность"/>
    <s v="Расходы на услуги сторонних организаций"/>
    <s v="ЦЕХ производства ЗПФ"/>
    <x v="0"/>
    <x v="8"/>
    <s v="Расходы на услуги сторонних организаций"/>
    <x v="32"/>
    <m/>
    <m/>
    <n v="4050"/>
    <n v="2500"/>
    <n v="2900"/>
    <n v="14500"/>
    <n v="5100"/>
    <n v="2500"/>
    <n v="2900"/>
    <n v="3300"/>
    <n v="3700"/>
    <n v="22000"/>
    <n v="4000"/>
    <n v="4000"/>
    <n v="71450"/>
  </r>
  <r>
    <x v="0"/>
    <x v="2"/>
    <x v="6"/>
    <s v="Производственная деятельность"/>
    <s v="Зарплата"/>
    <s v="ЦЕХ производства мороженого"/>
    <x v="0"/>
    <x v="0"/>
    <s v="Зарплата"/>
    <x v="0"/>
    <m/>
    <m/>
    <n v="141225"/>
    <n v="159444"/>
    <n v="312807.17396222224"/>
    <n v="286852.6839577778"/>
    <n v="375870.06049999996"/>
    <n v="386510.84573555557"/>
    <n v="311188.95165111113"/>
    <n v="177013.80953999999"/>
    <n v="158838"/>
    <n v="143520"/>
    <n v="143520"/>
    <n v="149829"/>
    <n v="2746619.5253466666"/>
  </r>
  <r>
    <x v="0"/>
    <x v="0"/>
    <x v="6"/>
    <s v="Производственная деятельность"/>
    <s v="Расходы на канцтовары и обслуживание оргтехники"/>
    <s v="ЦЕХ производства мороженого"/>
    <x v="0"/>
    <x v="6"/>
    <s v="Расходы на канцтовары и обслуживание оргтехники"/>
    <x v="17"/>
    <m/>
    <m/>
    <n v="200"/>
    <n v="300"/>
    <n v="500"/>
    <n v="500"/>
    <n v="500"/>
    <n v="500"/>
    <n v="500"/>
    <n v="300"/>
    <n v="300"/>
    <n v="300"/>
    <n v="300"/>
    <n v="300"/>
    <n v="4500"/>
  </r>
  <r>
    <x v="0"/>
    <x v="0"/>
    <x v="6"/>
    <s v="Производственная деятельность"/>
    <s v="Расходы на контроль качества"/>
    <s v="ЦЕХ производства мороженого"/>
    <x v="0"/>
    <x v="13"/>
    <s v="Расходы на контроль качества"/>
    <x v="98"/>
    <m/>
    <m/>
    <n v="5000"/>
    <n v="4000"/>
    <n v="11000"/>
    <n v="15000"/>
    <n v="16000"/>
    <n v="20000"/>
    <n v="18000"/>
    <n v="13000"/>
    <n v="5500"/>
    <n v="5500"/>
    <n v="5500"/>
    <n v="5500"/>
    <n v="124000"/>
  </r>
  <r>
    <x v="0"/>
    <x v="0"/>
    <x v="6"/>
    <s v="Производственная деятельность"/>
    <s v="Расходы на контроль качества"/>
    <s v="ЦЕХ производства мороженого"/>
    <x v="0"/>
    <x v="13"/>
    <s v="Расходы на контроль качества"/>
    <x v="102"/>
    <m/>
    <m/>
    <m/>
    <m/>
    <n v="2000"/>
    <n v="2000"/>
    <n v="2000"/>
    <n v="2000"/>
    <n v="6000"/>
    <m/>
    <m/>
    <m/>
    <m/>
    <m/>
    <n v="14000"/>
  </r>
  <r>
    <x v="0"/>
    <x v="0"/>
    <x v="6"/>
    <s v="Производственная деятельность"/>
    <s v="Расходы на налоги"/>
    <s v="ЦЕХ производства мороженого"/>
    <x v="0"/>
    <x v="3"/>
    <s v="Расходы на налоги"/>
    <x v="12"/>
    <m/>
    <m/>
    <n v="41240.800000000003"/>
    <n v="86522.69"/>
    <n v="184451.84"/>
    <n v="184451.84"/>
    <n v="184451.84"/>
    <n v="184451.84"/>
    <n v="111236.24"/>
    <n v="86522.69"/>
    <n v="39871.089999999997"/>
    <n v="39871.089999999997"/>
    <n v="39871.089999999997"/>
    <n v="39871.089999999997"/>
    <n v="1222814.1400000004"/>
  </r>
  <r>
    <x v="0"/>
    <x v="0"/>
    <x v="6"/>
    <s v="Производственная деятельность"/>
    <s v="Расходы на персонал"/>
    <s v="ЦЕХ производства мороженого"/>
    <x v="0"/>
    <x v="7"/>
    <s v="Расходы на персонал"/>
    <x v="76"/>
    <m/>
    <m/>
    <n v="1000"/>
    <n v="5000"/>
    <n v="12000"/>
    <n v="7000"/>
    <n v="8000"/>
    <n v="6000"/>
    <n v="7000"/>
    <n v="4000"/>
    <n v="500"/>
    <n v="500"/>
    <n v="500"/>
    <n v="500"/>
    <n v="52000"/>
  </r>
  <r>
    <x v="0"/>
    <x v="0"/>
    <x v="6"/>
    <s v="Производственная деятельность"/>
    <s v="Расходы на услуги сторонних организаций"/>
    <s v="ЦЕХ производства мороженого"/>
    <x v="0"/>
    <x v="8"/>
    <s v="Расходы на услуги сторонних организаций"/>
    <x v="32"/>
    <m/>
    <m/>
    <n v="1500"/>
    <n v="1500"/>
    <n v="2000"/>
    <n v="2000"/>
    <n v="2000"/>
    <n v="2000"/>
    <n v="4000"/>
    <n v="3000"/>
    <n v="1000"/>
    <n v="1000"/>
    <n v="1000"/>
    <n v="1000"/>
    <n v="22000"/>
  </r>
  <r>
    <x v="0"/>
    <x v="3"/>
    <x v="7"/>
    <s v="Прочие доходы"/>
    <s v="Прочие доходы"/>
    <s v="Прочие доходы"/>
    <x v="0"/>
    <x v="24"/>
    <s v="Прочие доходы"/>
    <x v="103"/>
    <m/>
    <m/>
    <n v="89308.793082435761"/>
    <n v="41668.068311090406"/>
    <n v="248611.80636673135"/>
    <n v="881514.91333207663"/>
    <n v="1070772.1002924668"/>
    <n v="1083878.0269811363"/>
    <n v="528927.40549009561"/>
    <n v="777918.55010775663"/>
    <n v="185233.05376491934"/>
    <n v="122292.35931064123"/>
    <n v="117096.29163320106"/>
    <n v="99407.925354013045"/>
    <n v="5246629.2940265639"/>
  </r>
  <r>
    <x v="0"/>
    <x v="4"/>
    <x v="8"/>
    <s v="Доход от реализации (чистые продажи)"/>
    <s v="Доход от реализации (чистые продажи)"/>
    <s v="Доход от реализации (чистые продажи)"/>
    <x v="1"/>
    <x v="25"/>
    <s v="Доход от реализации (чистые продажи)"/>
    <x v="104"/>
    <m/>
    <m/>
    <n v="4155146.0499999896"/>
    <n v="4266901.5341240773"/>
    <n v="4896922.815433085"/>
    <n v="13986644.673651565"/>
    <n v="28176115.883904442"/>
    <n v="28978467.608106419"/>
    <n v="25357507.671278704"/>
    <n v="14622240.388985595"/>
    <n v="4237022.8035653001"/>
    <n v="3595930.3924166164"/>
    <n v="3737261.8406565329"/>
    <n v="3879424.4833371313"/>
    <n v="139889586.14545944"/>
  </r>
  <r>
    <x v="0"/>
    <x v="4"/>
    <x v="8"/>
    <s v="Доход от реализации (чистые продажи)"/>
    <s v="Доход от реализации (чистые продажи)"/>
    <s v="Доход от реализации (чистые продажи)"/>
    <x v="2"/>
    <x v="25"/>
    <s v="Доход от реализации (чистые продажи)"/>
    <x v="104"/>
    <m/>
    <m/>
    <n v="10929160.429999985"/>
    <n v="12364820.005359974"/>
    <n v="11955088.070524335"/>
    <n v="15534603.394075124"/>
    <n v="25717585.547404651"/>
    <n v="28378631.462380871"/>
    <n v="24282605.61674583"/>
    <n v="19778975.161181945"/>
    <n v="12333381.004426062"/>
    <n v="11649208.14764869"/>
    <n v="11753091.656376231"/>
    <n v="12136614.04963156"/>
    <n v="196813764.54575527"/>
  </r>
  <r>
    <x v="0"/>
    <x v="5"/>
    <x v="9"/>
    <s v="Продажи 1 категории"/>
    <s v="Продажи 1 категории"/>
    <s v="Продажи 1 категории Дистрибьюторы"/>
    <x v="1"/>
    <x v="26"/>
    <s v="Продажи 1 категории"/>
    <x v="105"/>
    <m/>
    <m/>
    <n v="5568536.4726330517"/>
    <n v="5749061.5591600277"/>
    <n v="6602829.6805586657"/>
    <n v="18870504.9113301"/>
    <n v="38011593.200822383"/>
    <n v="39125878.872913778"/>
    <n v="34285577.030254908"/>
    <n v="19768495.348840792"/>
    <n v="5707872.1135649066"/>
    <n v="4846815.7244759621"/>
    <n v="5041109.4719303874"/>
    <n v="5231538.3505134964"/>
    <n v="188809812.73699844"/>
  </r>
  <r>
    <x v="0"/>
    <x v="5"/>
    <x v="9"/>
    <s v="Продажи 1 категории"/>
    <s v="Продажи 1 категории"/>
    <s v="Продажи 1 категории Сети"/>
    <x v="2"/>
    <x v="26"/>
    <s v="Продажи 1 категории"/>
    <x v="105"/>
    <m/>
    <m/>
    <n v="10963066.987022087"/>
    <n v="12747237.118927825"/>
    <n v="12324833.062396239"/>
    <n v="16015055.045438258"/>
    <n v="26512974.791138846"/>
    <n v="29256321.095238149"/>
    <n v="25033614.037882265"/>
    <n v="20390696.04245564"/>
    <n v="12714825.777758829"/>
    <n v="12009492.935720269"/>
    <n v="12116589.3364703"/>
    <n v="12511973.247042831"/>
    <n v="202596679.47749156"/>
  </r>
  <r>
    <x v="0"/>
    <x v="6"/>
    <x v="10"/>
    <s v="Продажи в КГ"/>
    <s v="Продажи в КГ"/>
    <s v="Продажи в КГ"/>
    <x v="1"/>
    <x v="27"/>
    <s v="Продажи в КГ"/>
    <x v="106"/>
    <m/>
    <m/>
    <n v="199368.43799999973"/>
    <n v="194303.3993234045"/>
    <n v="163123.80217330449"/>
    <n v="424609.94619849493"/>
    <n v="841445.60643159295"/>
    <n v="851075.98552457104"/>
    <n v="746935.98720489268"/>
    <n v="434576.37134840386"/>
    <n v="148103.5743263484"/>
    <n v="133432.37832785863"/>
    <n v="134325.90143307435"/>
    <n v="141020.83977354626"/>
    <n v="4412322.2300654911"/>
  </r>
  <r>
    <x v="0"/>
    <x v="6"/>
    <x v="10"/>
    <s v="Продажи в КГ"/>
    <s v="Продажи в КГ"/>
    <s v="Продажи в КГ"/>
    <x v="2"/>
    <x v="27"/>
    <s v="Продажи в КГ"/>
    <x v="106"/>
    <m/>
    <m/>
    <n v="335283.1859999994"/>
    <n v="389021.67943320808"/>
    <n v="296097.41835440131"/>
    <n v="364646.38213095843"/>
    <n v="565603.7082365274"/>
    <n v="644092.69896149321"/>
    <n v="549688.46471284202"/>
    <n v="451048.1670192217"/>
    <n v="301693.30082925275"/>
    <n v="286834.33260040457"/>
    <n v="281998.03060851258"/>
    <n v="294053.20247795025"/>
    <n v="4760060.5713647725"/>
  </r>
  <r>
    <x v="0"/>
    <x v="7"/>
    <x v="11"/>
    <s v="Производство кг"/>
    <s v="Производство кг"/>
    <s v="Производство кг"/>
    <x v="0"/>
    <x v="28"/>
    <s v="Производство кг"/>
    <x v="107"/>
    <m/>
    <m/>
    <n v="526215.48991453694"/>
    <n v="596693.40052832966"/>
    <n v="1451989.8991080939"/>
    <n v="1425107.6636888455"/>
    <n v="1600597.8111966532"/>
    <n v="1638448.1818577987"/>
    <n v="1342334.6954078367"/>
    <n v="1119449.5918415356"/>
    <n v="657677.25053454004"/>
    <n v="578197.9019088049"/>
    <n v="584456.48213366815"/>
    <n v="592482.07284735865"/>
    <n v="12113650.440968001"/>
  </r>
  <r>
    <x v="1"/>
    <x v="0"/>
    <x v="0"/>
    <s v="Административная деятельность"/>
    <s v="Аренда"/>
    <s v="Генеральный директор"/>
    <x v="0"/>
    <x v="9"/>
    <s v="Аренда"/>
    <x v="28"/>
    <m/>
    <m/>
    <m/>
    <m/>
    <m/>
    <m/>
    <m/>
    <m/>
    <m/>
    <m/>
    <m/>
    <m/>
    <n v="450"/>
    <n v="450"/>
    <n v="900"/>
  </r>
  <r>
    <x v="1"/>
    <x v="0"/>
    <x v="0"/>
    <s v="Административная деятельность"/>
    <s v="Аренда"/>
    <s v="Директор"/>
    <x v="0"/>
    <x v="9"/>
    <s v="Аренда"/>
    <x v="34"/>
    <m/>
    <m/>
    <n v="800"/>
    <n v="800"/>
    <n v="800"/>
    <n v="800"/>
    <n v="800"/>
    <n v="116260.15"/>
    <n v="114820.15"/>
    <n v="8633.6200000000008"/>
    <n v="114020.15"/>
    <n v="114020.15"/>
    <n v="114021"/>
    <n v="114021"/>
    <n v="699796.22"/>
  </r>
  <r>
    <x v="1"/>
    <x v="0"/>
    <x v="0"/>
    <s v="Административная деятельность"/>
    <s v="Аренда"/>
    <s v="Директор"/>
    <x v="0"/>
    <x v="9"/>
    <s v="Аренда"/>
    <x v="28"/>
    <m/>
    <m/>
    <n v="222552.01"/>
    <n v="117826"/>
    <n v="104226"/>
    <n v="106145.52"/>
    <n v="169320.49"/>
    <n v="52961.02"/>
    <n v="111392.96000000001"/>
    <n v="166694.87"/>
    <n v="62060.55"/>
    <n v="64040.45"/>
    <n v="64680"/>
    <n v="64700"/>
    <n v="1306599.8700000001"/>
  </r>
  <r>
    <x v="1"/>
    <x v="0"/>
    <x v="0"/>
    <s v="Административная деятельность"/>
    <s v="Аренда"/>
    <s v="Финансово - экономический отдел"/>
    <x v="0"/>
    <x v="9"/>
    <s v="Аренда"/>
    <x v="28"/>
    <m/>
    <m/>
    <n v="2900"/>
    <n v="2900"/>
    <n v="2900"/>
    <n v="2900"/>
    <n v="2900"/>
    <n v="15000"/>
    <n v="6500"/>
    <n v="6500"/>
    <n v="6500"/>
    <n v="6500"/>
    <n v="6500"/>
    <n v="6500"/>
    <n v="68500"/>
  </r>
  <r>
    <x v="1"/>
    <x v="0"/>
    <x v="0"/>
    <s v="Административная деятельность"/>
    <s v="Аренда"/>
    <s v="Юридический отдел"/>
    <x v="0"/>
    <x v="9"/>
    <s v="Аренда"/>
    <x v="28"/>
    <m/>
    <m/>
    <n v="3900"/>
    <n v="3900"/>
    <n v="3900"/>
    <n v="3900"/>
    <n v="3900"/>
    <n v="13700"/>
    <n v="5500"/>
    <n v="5500"/>
    <n v="5500"/>
    <n v="5500"/>
    <n v="5500"/>
    <n v="5500"/>
    <n v="66200"/>
  </r>
  <r>
    <x v="1"/>
    <x v="0"/>
    <x v="0"/>
    <s v="Административная деятельность"/>
    <s v="Зарплата"/>
    <s v="Бренд - менеджер ЗПФ"/>
    <x v="0"/>
    <x v="0"/>
    <s v="Зарплата"/>
    <x v="0"/>
    <m/>
    <m/>
    <n v="10200"/>
    <n v="10710"/>
    <n v="10506"/>
    <n v="10506"/>
    <n v="10506"/>
    <n v="8847.16"/>
    <n v="8222"/>
    <n v="14449"/>
    <n v="10506"/>
    <n v="10506"/>
    <n v="10506"/>
    <n v="10506"/>
    <n v="125970.16"/>
  </r>
  <r>
    <x v="1"/>
    <x v="0"/>
    <x v="0"/>
    <s v="Административная деятельность"/>
    <s v="Зарплата"/>
    <s v="Бренд - менеджер Мороженое"/>
    <x v="0"/>
    <x v="0"/>
    <s v="Зарплата"/>
    <x v="0"/>
    <m/>
    <m/>
    <n v="22550.7"/>
    <n v="13840"/>
    <n v="14354"/>
    <n v="14354"/>
    <n v="6078.84"/>
    <n v="18099.580000000002"/>
    <n v="20560.61"/>
    <n v="22366.81"/>
    <n v="10506"/>
    <n v="10506"/>
    <n v="10506"/>
    <n v="10506"/>
    <n v="174228.54"/>
  </r>
  <r>
    <x v="1"/>
    <x v="0"/>
    <x v="0"/>
    <s v="Административная деятельность"/>
    <s v="Зарплата"/>
    <s v="Бухгалтерия"/>
    <x v="0"/>
    <x v="0"/>
    <s v="Зарплата"/>
    <x v="0"/>
    <m/>
    <m/>
    <n v="101865"/>
    <n v="99278"/>
    <n v="107291"/>
    <n v="108572.37"/>
    <n v="106758.74"/>
    <n v="104817.05"/>
    <n v="105617.83"/>
    <n v="101578"/>
    <n v="96831.2"/>
    <n v="101651.57"/>
    <n v="105982"/>
    <n v="105982"/>
    <n v="1246224.76"/>
  </r>
  <r>
    <x v="1"/>
    <x v="0"/>
    <x v="0"/>
    <s v="Административная деятельность"/>
    <s v="Зарплата"/>
    <s v="Генеральный директор"/>
    <x v="0"/>
    <x v="0"/>
    <s v="Зарплата"/>
    <x v="0"/>
    <m/>
    <m/>
    <n v="57618"/>
    <n v="57618"/>
    <n v="14498"/>
    <n v="14498"/>
    <n v="14498"/>
    <n v="14498"/>
    <n v="14498"/>
    <n v="17211.900000000001"/>
    <n v="15103"/>
    <n v="15103"/>
    <n v="15103"/>
    <n v="15103"/>
    <n v="265349.90000000002"/>
  </r>
  <r>
    <x v="1"/>
    <x v="0"/>
    <x v="0"/>
    <s v="Административная деятельность"/>
    <s v="Зарплата"/>
    <s v="Директор"/>
    <x v="0"/>
    <x v="0"/>
    <s v="Зарплата"/>
    <x v="0"/>
    <m/>
    <m/>
    <n v="40783.78"/>
    <n v="36713.589999999997"/>
    <n v="61595.89"/>
    <n v="60291.839999999997"/>
    <n v="60403.94"/>
    <n v="61721.279999999999"/>
    <n v="60053.65"/>
    <n v="62276.94"/>
    <n v="64712.65"/>
    <n v="58253.84"/>
    <n v="58254"/>
    <n v="1013970"/>
    <n v="1639031.4"/>
  </r>
  <r>
    <x v="1"/>
    <x v="0"/>
    <x v="0"/>
    <s v="Административная деятельность"/>
    <s v="Зарплата"/>
    <s v="Директор по маркетингу"/>
    <x v="0"/>
    <x v="0"/>
    <s v="Зарплата"/>
    <x v="0"/>
    <m/>
    <m/>
    <n v="19840"/>
    <n v="21182"/>
    <n v="26964"/>
    <n v="27871.45"/>
    <n v="50581"/>
    <n v="31022"/>
    <n v="29986.7"/>
    <n v="40104.67"/>
    <n v="45250.67"/>
    <n v="45594"/>
    <n v="45594"/>
    <n v="45594"/>
    <n v="429584.49"/>
  </r>
  <r>
    <x v="1"/>
    <x v="0"/>
    <x v="0"/>
    <s v="Административная деятельность"/>
    <s v="Зарплата"/>
    <s v="ИТ отдел"/>
    <x v="0"/>
    <x v="0"/>
    <s v="Зарплата"/>
    <x v="0"/>
    <m/>
    <m/>
    <n v="41370"/>
    <n v="41520"/>
    <n v="42470"/>
    <n v="46060"/>
    <n v="42925.45"/>
    <n v="45544.55"/>
    <n v="42860"/>
    <n v="43010"/>
    <n v="43010"/>
    <n v="46910"/>
    <n v="43010"/>
    <n v="43010"/>
    <n v="521700"/>
  </r>
  <r>
    <x v="1"/>
    <x v="0"/>
    <x v="0"/>
    <s v="Административная деятельность"/>
    <s v="Зарплата"/>
    <s v="Отдел закупок (Киев)"/>
    <x v="0"/>
    <x v="0"/>
    <s v="Зарплата"/>
    <x v="0"/>
    <m/>
    <m/>
    <n v="29400"/>
    <n v="29400"/>
    <n v="30738"/>
    <n v="30738"/>
    <n v="30738"/>
    <n v="30538"/>
    <n v="30738"/>
    <n v="30738"/>
    <n v="30738"/>
    <n v="34738"/>
    <n v="30738"/>
    <n v="30738"/>
    <n v="369980"/>
  </r>
  <r>
    <x v="1"/>
    <x v="0"/>
    <x v="0"/>
    <s v="Административная деятельность"/>
    <s v="Зарплата"/>
    <s v="Отдел контроля качества"/>
    <x v="0"/>
    <x v="0"/>
    <s v="Зарплата"/>
    <x v="0"/>
    <m/>
    <m/>
    <n v="22511.43"/>
    <n v="23440"/>
    <n v="24343.200000000001"/>
    <n v="23264.39"/>
    <n v="25292.799999999999"/>
    <n v="24950"/>
    <n v="24950"/>
    <n v="24950"/>
    <n v="24950"/>
    <n v="24768.91"/>
    <n v="24950"/>
    <n v="24950"/>
    <n v="293320.73"/>
  </r>
  <r>
    <x v="1"/>
    <x v="0"/>
    <x v="0"/>
    <s v="Административная деятельность"/>
    <s v="Зарплата"/>
    <s v="Отдел персонала"/>
    <x v="0"/>
    <x v="0"/>
    <s v="Зарплата"/>
    <x v="0"/>
    <m/>
    <m/>
    <n v="24031.27"/>
    <n v="24300.66"/>
    <n v="26560"/>
    <n v="26560"/>
    <n v="26560"/>
    <n v="26560"/>
    <n v="26560"/>
    <n v="26560"/>
    <n v="29280"/>
    <n v="26560"/>
    <n v="26560"/>
    <n v="26560"/>
    <n v="316651.93"/>
  </r>
  <r>
    <x v="1"/>
    <x v="0"/>
    <x v="0"/>
    <s v="Административная деятельность"/>
    <s v="Зарплата"/>
    <s v="Охрана труда"/>
    <x v="0"/>
    <x v="0"/>
    <s v="Зарплата"/>
    <x v="0"/>
    <m/>
    <m/>
    <n v="7120"/>
    <n v="7120"/>
    <n v="7611"/>
    <n v="7611"/>
    <n v="7611"/>
    <n v="7611"/>
    <n v="7611"/>
    <n v="7611"/>
    <n v="7611"/>
    <n v="7611"/>
    <n v="11533"/>
    <n v="11533"/>
    <n v="98194"/>
  </r>
  <r>
    <x v="1"/>
    <x v="0"/>
    <x v="0"/>
    <s v="Административная деятельность"/>
    <s v="Зарплата"/>
    <s v="Служба безопасности"/>
    <x v="0"/>
    <x v="0"/>
    <s v="Зарплата"/>
    <x v="0"/>
    <m/>
    <m/>
    <n v="39900"/>
    <n v="39900"/>
    <n v="39900"/>
    <n v="39900"/>
    <n v="41174"/>
    <n v="41174"/>
    <n v="34221.050000000003"/>
    <n v="39917.33"/>
    <n v="42510.239999999998"/>
    <n v="41988"/>
    <n v="41988"/>
    <n v="41988"/>
    <n v="484560.62"/>
  </r>
  <r>
    <x v="1"/>
    <x v="0"/>
    <x v="0"/>
    <s v="Административная деятельность"/>
    <s v="Зарплата"/>
    <s v="Трейд - маркетинг"/>
    <x v="0"/>
    <x v="0"/>
    <s v="Зарплата"/>
    <x v="0"/>
    <m/>
    <m/>
    <m/>
    <n v="7350"/>
    <n v="7210"/>
    <n v="7210"/>
    <n v="7210"/>
    <n v="7210"/>
    <n v="7210"/>
    <n v="7210"/>
    <n v="7210"/>
    <n v="7210"/>
    <n v="7210"/>
    <n v="7210"/>
    <n v="79450"/>
  </r>
  <r>
    <x v="1"/>
    <x v="0"/>
    <x v="0"/>
    <s v="Административная деятельность"/>
    <s v="Зарплата"/>
    <s v="Финансово - экономический отдел"/>
    <x v="0"/>
    <x v="0"/>
    <s v="Зарплата"/>
    <x v="0"/>
    <m/>
    <m/>
    <n v="41490"/>
    <n v="41490"/>
    <n v="44910"/>
    <n v="44910"/>
    <n v="44810"/>
    <n v="44910"/>
    <n v="43910"/>
    <n v="44910"/>
    <n v="44910"/>
    <n v="44810"/>
    <n v="44910"/>
    <n v="44910"/>
    <n v="530880"/>
  </r>
  <r>
    <x v="1"/>
    <x v="0"/>
    <x v="0"/>
    <s v="Административная деятельность"/>
    <s v="Зарплата"/>
    <s v="Холодильное оборудование"/>
    <x v="1"/>
    <x v="0"/>
    <s v="Зарплата"/>
    <x v="0"/>
    <m/>
    <m/>
    <m/>
    <m/>
    <m/>
    <m/>
    <m/>
    <n v="26638"/>
    <n v="9916"/>
    <m/>
    <m/>
    <m/>
    <m/>
    <m/>
    <n v="36554"/>
  </r>
  <r>
    <x v="1"/>
    <x v="0"/>
    <x v="0"/>
    <s v="Административная деятельность"/>
    <s v="Зарплата"/>
    <s v="Холодильное оборудование"/>
    <x v="0"/>
    <x v="0"/>
    <s v="Зарплата"/>
    <x v="0"/>
    <m/>
    <m/>
    <n v="14378.9"/>
    <n v="20193.599999999999"/>
    <n v="28665.25"/>
    <n v="31160"/>
    <m/>
    <m/>
    <m/>
    <m/>
    <m/>
    <m/>
    <m/>
    <m/>
    <n v="94397.75"/>
  </r>
  <r>
    <x v="1"/>
    <x v="0"/>
    <x v="0"/>
    <s v="Административная деятельность"/>
    <s v="Зарплата"/>
    <s v="Юридический отдел"/>
    <x v="0"/>
    <x v="0"/>
    <s v="Зарплата"/>
    <x v="0"/>
    <m/>
    <m/>
    <n v="15900"/>
    <n v="15900"/>
    <n v="18016"/>
    <n v="18016"/>
    <n v="18016"/>
    <n v="18016"/>
    <n v="18016"/>
    <n v="18016"/>
    <n v="18016"/>
    <n v="18016"/>
    <n v="18016"/>
    <n v="18016"/>
    <n v="211960"/>
  </r>
  <r>
    <x v="1"/>
    <x v="0"/>
    <x v="0"/>
    <s v="Административная деятельность"/>
    <s v="Командировочные расходы"/>
    <s v="Бренд - менеджер ЗПФ"/>
    <x v="0"/>
    <x v="1"/>
    <s v="Командировочные расходы"/>
    <x v="1"/>
    <m/>
    <m/>
    <m/>
    <n v="455.15"/>
    <m/>
    <m/>
    <m/>
    <m/>
    <m/>
    <m/>
    <m/>
    <m/>
    <n v="1000"/>
    <n v="1000"/>
    <n v="2455.15"/>
  </r>
  <r>
    <x v="1"/>
    <x v="0"/>
    <x v="0"/>
    <s v="Административная деятельность"/>
    <s v="Командировочные расходы"/>
    <s v="Бренд - менеджер Мороженое"/>
    <x v="0"/>
    <x v="1"/>
    <s v="Командировочные расходы"/>
    <x v="1"/>
    <m/>
    <m/>
    <m/>
    <n v="3154.55"/>
    <n v="2188.5"/>
    <n v="2255.0100000000002"/>
    <n v="914.82"/>
    <m/>
    <m/>
    <m/>
    <m/>
    <m/>
    <n v="1500"/>
    <n v="1500"/>
    <n v="11512.880000000001"/>
  </r>
  <r>
    <x v="1"/>
    <x v="0"/>
    <x v="0"/>
    <s v="Административная деятельность"/>
    <s v="Командировочные расходы"/>
    <s v="Генеральный директор"/>
    <x v="0"/>
    <x v="1"/>
    <s v="Командировочные расходы"/>
    <x v="1"/>
    <m/>
    <m/>
    <m/>
    <m/>
    <m/>
    <m/>
    <m/>
    <m/>
    <m/>
    <n v="2597.91"/>
    <n v="2654"/>
    <m/>
    <n v="2000"/>
    <n v="2000"/>
    <n v="9251.91"/>
  </r>
  <r>
    <x v="1"/>
    <x v="0"/>
    <x v="0"/>
    <s v="Административная деятельность"/>
    <s v="Командировочные расходы"/>
    <s v="Директор"/>
    <x v="0"/>
    <x v="1"/>
    <s v="Командировочные расходы"/>
    <x v="1"/>
    <m/>
    <m/>
    <n v="642.58000000000004"/>
    <n v="387.84"/>
    <n v="1120"/>
    <m/>
    <m/>
    <m/>
    <m/>
    <n v="6049"/>
    <n v="2654"/>
    <n v="7179.86"/>
    <m/>
    <m/>
    <n v="18033.28"/>
  </r>
  <r>
    <x v="1"/>
    <x v="0"/>
    <x v="0"/>
    <s v="Административная деятельность"/>
    <s v="Командировочные расходы"/>
    <s v="Директор по маркетингу"/>
    <x v="0"/>
    <x v="1"/>
    <s v="Командировочные расходы"/>
    <x v="1"/>
    <m/>
    <m/>
    <m/>
    <n v="8291.77"/>
    <n v="1085.3499999999999"/>
    <n v="707.09"/>
    <n v="135"/>
    <m/>
    <m/>
    <n v="1434.95"/>
    <n v="63"/>
    <m/>
    <n v="1500"/>
    <n v="1500"/>
    <n v="14717.160000000002"/>
  </r>
  <r>
    <x v="1"/>
    <x v="0"/>
    <x v="0"/>
    <s v="Административная деятельность"/>
    <s v="Командировочные расходы"/>
    <s v="ИТ отдел"/>
    <x v="0"/>
    <x v="1"/>
    <s v="Командировочные расходы"/>
    <x v="1"/>
    <m/>
    <m/>
    <m/>
    <m/>
    <n v="248"/>
    <n v="150"/>
    <m/>
    <m/>
    <m/>
    <m/>
    <m/>
    <m/>
    <m/>
    <m/>
    <n v="398"/>
  </r>
  <r>
    <x v="1"/>
    <x v="0"/>
    <x v="0"/>
    <s v="Административная деятельность"/>
    <s v="Командировочные расходы"/>
    <s v="Отдел контроля качества"/>
    <x v="0"/>
    <x v="1"/>
    <s v="Командировочные расходы"/>
    <x v="1"/>
    <m/>
    <m/>
    <m/>
    <n v="880"/>
    <n v="740"/>
    <m/>
    <m/>
    <n v="143"/>
    <n v="111.92"/>
    <m/>
    <m/>
    <n v="237.45"/>
    <n v="300"/>
    <n v="300"/>
    <n v="2712.37"/>
  </r>
  <r>
    <x v="1"/>
    <x v="0"/>
    <x v="0"/>
    <s v="Административная деятельность"/>
    <s v="Командировочные расходы"/>
    <s v="Охрана труда"/>
    <x v="0"/>
    <x v="1"/>
    <s v="Командировочные расходы"/>
    <x v="1"/>
    <m/>
    <m/>
    <m/>
    <m/>
    <n v="140"/>
    <m/>
    <m/>
    <m/>
    <m/>
    <m/>
    <m/>
    <m/>
    <m/>
    <m/>
    <n v="140"/>
  </r>
  <r>
    <x v="1"/>
    <x v="0"/>
    <x v="0"/>
    <s v="Административная деятельность"/>
    <s v="Командировочные расходы"/>
    <s v="Служба безопасности"/>
    <x v="0"/>
    <x v="1"/>
    <s v="Командировочные расходы"/>
    <x v="1"/>
    <m/>
    <m/>
    <n v="4119.58"/>
    <n v="2903"/>
    <n v="3079"/>
    <n v="6508"/>
    <n v="12474"/>
    <n v="12320.5"/>
    <n v="24251"/>
    <n v="18997"/>
    <n v="10097.780000000001"/>
    <n v="4803.72"/>
    <n v="5000"/>
    <n v="5000"/>
    <n v="109553.58"/>
  </r>
  <r>
    <x v="1"/>
    <x v="0"/>
    <x v="0"/>
    <s v="Административная деятельность"/>
    <s v="Командировочные расходы"/>
    <s v="Финансово - экономический отдел"/>
    <x v="0"/>
    <x v="1"/>
    <s v="Командировочные расходы"/>
    <x v="1"/>
    <m/>
    <m/>
    <m/>
    <m/>
    <m/>
    <m/>
    <m/>
    <m/>
    <n v="458.34"/>
    <m/>
    <n v="350"/>
    <m/>
    <m/>
    <m/>
    <n v="808.33999999999992"/>
  </r>
  <r>
    <x v="1"/>
    <x v="0"/>
    <x v="0"/>
    <s v="Административная деятельность"/>
    <s v="Командировочные расходы"/>
    <s v="Холодильное оборудование"/>
    <x v="1"/>
    <x v="1"/>
    <s v="Командировочные расходы"/>
    <x v="1"/>
    <m/>
    <m/>
    <m/>
    <m/>
    <m/>
    <m/>
    <m/>
    <m/>
    <n v="1163.29"/>
    <m/>
    <m/>
    <m/>
    <m/>
    <m/>
    <n v="1163.29"/>
  </r>
  <r>
    <x v="1"/>
    <x v="0"/>
    <x v="0"/>
    <s v="Административная деятельность"/>
    <s v="Командировочные расходы"/>
    <s v="Холодильное оборудование"/>
    <x v="0"/>
    <x v="1"/>
    <s v="Командировочные расходы"/>
    <x v="1"/>
    <m/>
    <m/>
    <n v="1899.31"/>
    <n v="496.68"/>
    <n v="130"/>
    <n v="643.65"/>
    <m/>
    <m/>
    <m/>
    <m/>
    <n v="390"/>
    <m/>
    <m/>
    <m/>
    <n v="3559.64"/>
  </r>
  <r>
    <x v="1"/>
    <x v="0"/>
    <x v="0"/>
    <s v="Административная деятельность"/>
    <s v="Командировочные расходы"/>
    <s v="Юридический отдел"/>
    <x v="0"/>
    <x v="1"/>
    <s v="Командировочные расходы"/>
    <x v="1"/>
    <m/>
    <m/>
    <n v="497.13"/>
    <n v="900.12"/>
    <n v="1651.26"/>
    <n v="1075.8800000000001"/>
    <m/>
    <m/>
    <m/>
    <m/>
    <n v="401.21"/>
    <n v="1043.94"/>
    <n v="1100"/>
    <n v="1100"/>
    <n v="7769.5400000000009"/>
  </r>
  <r>
    <x v="1"/>
    <x v="0"/>
    <x v="0"/>
    <s v="Административная деятельность"/>
    <s v="Коммунальные расходы"/>
    <s v="Директор"/>
    <x v="0"/>
    <x v="11"/>
    <s v="Коммунальные расходы"/>
    <x v="35"/>
    <m/>
    <m/>
    <n v="1095.8399999999999"/>
    <m/>
    <n v="1020.96"/>
    <m/>
    <m/>
    <m/>
    <m/>
    <m/>
    <m/>
    <n v="540"/>
    <m/>
    <m/>
    <n v="2656.8"/>
  </r>
  <r>
    <x v="1"/>
    <x v="0"/>
    <x v="0"/>
    <s v="Административная деятельность"/>
    <s v="Коммунальные расходы"/>
    <s v="Директор"/>
    <x v="0"/>
    <x v="11"/>
    <s v="Коммунальные расходы"/>
    <x v="96"/>
    <m/>
    <m/>
    <n v="25084.15"/>
    <n v="28179.42"/>
    <n v="21817.88"/>
    <m/>
    <n v="32797.08"/>
    <n v="5902.65"/>
    <n v="423"/>
    <n v="522"/>
    <m/>
    <m/>
    <m/>
    <m/>
    <n v="114726.18"/>
  </r>
  <r>
    <x v="1"/>
    <x v="0"/>
    <x v="0"/>
    <s v="Административная деятельность"/>
    <s v="Коммунальные расходы"/>
    <s v="Финансово - экономический отдел"/>
    <x v="0"/>
    <x v="11"/>
    <s v="Коммунальные расходы"/>
    <x v="96"/>
    <m/>
    <m/>
    <n v="432"/>
    <n v="314"/>
    <m/>
    <n v="227.8"/>
    <m/>
    <m/>
    <m/>
    <m/>
    <m/>
    <m/>
    <m/>
    <m/>
    <n v="973.8"/>
  </r>
  <r>
    <x v="1"/>
    <x v="0"/>
    <x v="0"/>
    <s v="Административная деятельность"/>
    <s v="Расходы на банковское обслуживание"/>
    <s v="Бухгалтерия"/>
    <x v="0"/>
    <x v="15"/>
    <s v="Расходы на банковское обслуживание"/>
    <x v="57"/>
    <m/>
    <m/>
    <n v="428"/>
    <n v="428"/>
    <n v="428"/>
    <n v="428"/>
    <n v="428"/>
    <n v="428"/>
    <n v="428"/>
    <n v="428"/>
    <n v="428"/>
    <n v="428"/>
    <m/>
    <m/>
    <n v="4280"/>
  </r>
  <r>
    <x v="1"/>
    <x v="0"/>
    <x v="0"/>
    <s v="Административная деятельность"/>
    <s v="Расходы на банковское обслуживание"/>
    <s v="Бухгалтерия"/>
    <x v="0"/>
    <x v="15"/>
    <s v="Расходы на банковское обслуживание"/>
    <x v="58"/>
    <m/>
    <m/>
    <n v="1591.95"/>
    <n v="2390.92"/>
    <n v="3693.24"/>
    <n v="8372.35"/>
    <n v="8216.92"/>
    <n v="11405.46"/>
    <n v="18082.310000000001"/>
    <n v="4434.45"/>
    <n v="3817.38"/>
    <n v="2978.29"/>
    <m/>
    <m/>
    <n v="64983.26999999999"/>
  </r>
  <r>
    <x v="1"/>
    <x v="0"/>
    <x v="0"/>
    <s v="Административная деятельность"/>
    <s v="Расходы на банковское обслуживание"/>
    <s v="Директор"/>
    <x v="0"/>
    <x v="15"/>
    <s v="Расходы на банковское обслуживание"/>
    <x v="108"/>
    <m/>
    <m/>
    <n v="2035.25"/>
    <n v="11217.3"/>
    <n v="7886.1"/>
    <m/>
    <n v="3907.68"/>
    <n v="5712.7"/>
    <n v="5806.76"/>
    <n v="8643.5"/>
    <n v="8995.2999999999993"/>
    <m/>
    <m/>
    <m/>
    <n v="54204.59"/>
  </r>
  <r>
    <x v="1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57"/>
    <m/>
    <m/>
    <m/>
    <m/>
    <m/>
    <m/>
    <m/>
    <m/>
    <m/>
    <m/>
    <n v="50"/>
    <m/>
    <n v="1000"/>
    <n v="1000"/>
    <n v="2050"/>
  </r>
  <r>
    <x v="1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109"/>
    <m/>
    <m/>
    <n v="4774.5600000000004"/>
    <m/>
    <n v="643.47"/>
    <n v="213.77"/>
    <n v="1551.31"/>
    <m/>
    <m/>
    <m/>
    <m/>
    <m/>
    <m/>
    <m/>
    <n v="7183.1100000000006"/>
  </r>
  <r>
    <x v="1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108"/>
    <m/>
    <m/>
    <m/>
    <m/>
    <m/>
    <m/>
    <m/>
    <m/>
    <m/>
    <m/>
    <n v="7824.38"/>
    <n v="20403.490000000002"/>
    <m/>
    <m/>
    <n v="28227.870000000003"/>
  </r>
  <r>
    <x v="1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110"/>
    <m/>
    <m/>
    <m/>
    <m/>
    <m/>
    <m/>
    <m/>
    <m/>
    <m/>
    <m/>
    <n v="250"/>
    <m/>
    <m/>
    <m/>
    <n v="250"/>
  </r>
  <r>
    <x v="1"/>
    <x v="0"/>
    <x v="0"/>
    <s v="Административная деятельность"/>
    <s v="Расходы на банковское обслуживание"/>
    <s v="Финансово - экономический отдел"/>
    <x v="0"/>
    <x v="15"/>
    <s v="Расходы на банковское обслуживание"/>
    <x v="58"/>
    <m/>
    <m/>
    <n v="10798.59"/>
    <n v="7818.55"/>
    <n v="8545.7000000000007"/>
    <n v="8538.69"/>
    <n v="16802.830000000002"/>
    <n v="90025.69"/>
    <n v="25967.059999999998"/>
    <n v="19841.45"/>
    <n v="7810.2199999999993"/>
    <n v="8317.1999999999971"/>
    <n v="25000"/>
    <n v="25000"/>
    <n v="254465.97999999998"/>
  </r>
  <r>
    <x v="1"/>
    <x v="0"/>
    <x v="0"/>
    <s v="Административная деятельность"/>
    <s v="Расходы на банковское обслуживание"/>
    <s v="Юридический отдел"/>
    <x v="0"/>
    <x v="15"/>
    <s v="Расходы на банковское обслуживание"/>
    <x v="58"/>
    <m/>
    <m/>
    <m/>
    <m/>
    <m/>
    <m/>
    <m/>
    <m/>
    <n v="64"/>
    <m/>
    <m/>
    <m/>
    <m/>
    <m/>
    <n v="64"/>
  </r>
  <r>
    <x v="1"/>
    <x v="0"/>
    <x v="0"/>
    <s v="Административная деятельность"/>
    <s v="Расходы на канцтовары и обслуживание оргтехники"/>
    <s v="Бренд - менеджер ЗПФ"/>
    <x v="0"/>
    <x v="6"/>
    <s v="Расходы на канцтовары и обслуживание оргтехники"/>
    <x v="17"/>
    <m/>
    <m/>
    <n v="132.63999999999999"/>
    <n v="29.8"/>
    <n v="56.63"/>
    <n v="54.56"/>
    <n v="58.32"/>
    <n v="46.52"/>
    <n v="51"/>
    <m/>
    <m/>
    <m/>
    <m/>
    <m/>
    <n v="429.46999999999997"/>
  </r>
  <r>
    <x v="1"/>
    <x v="0"/>
    <x v="0"/>
    <s v="Административная деятельность"/>
    <s v="Расходы на канцтовары и обслуживание оргтехники"/>
    <s v="Бренд - менеджер Мороженое"/>
    <x v="0"/>
    <x v="6"/>
    <s v="Расходы на канцтовары и обслуживание оргтехники"/>
    <x v="17"/>
    <m/>
    <m/>
    <m/>
    <m/>
    <n v="96.97"/>
    <n v="89.4"/>
    <n v="111"/>
    <n v="180.16"/>
    <n v="48.84"/>
    <m/>
    <m/>
    <m/>
    <m/>
    <n v="50"/>
    <n v="576.37"/>
  </r>
  <r>
    <x v="1"/>
    <x v="0"/>
    <x v="0"/>
    <s v="Административная деятельность"/>
    <s v="Расходы на канцтовары и обслуживание оргтехники"/>
    <s v="Бухгалтерия"/>
    <x v="0"/>
    <x v="6"/>
    <s v="Расходы на канцтовары и обслуживание оргтехники"/>
    <x v="17"/>
    <m/>
    <m/>
    <n v="2073.8200000000002"/>
    <n v="1955.29"/>
    <n v="2024.55"/>
    <n v="2253.1999999999998"/>
    <n v="2090.09"/>
    <n v="2405.34"/>
    <n v="2250.94"/>
    <n v="1850.84"/>
    <n v="2147.12"/>
    <n v="1934.52"/>
    <n v="2500"/>
    <n v="2500"/>
    <n v="25985.71"/>
  </r>
  <r>
    <x v="1"/>
    <x v="0"/>
    <x v="0"/>
    <s v="Административная деятельность"/>
    <s v="Расходы на канцтовары и обслуживание оргтехники"/>
    <s v="Генеральный директор"/>
    <x v="0"/>
    <x v="6"/>
    <s v="Расходы на канцтовары и обслуживание оргтехники"/>
    <x v="17"/>
    <m/>
    <m/>
    <m/>
    <n v="103.15"/>
    <n v="39.520000000000003"/>
    <n v="97.98"/>
    <n v="59.59"/>
    <m/>
    <n v="29.8"/>
    <n v="94.91"/>
    <n v="129.80000000000001"/>
    <n v="211.5"/>
    <n v="100"/>
    <n v="250"/>
    <n v="1116.25"/>
  </r>
  <r>
    <x v="1"/>
    <x v="0"/>
    <x v="0"/>
    <s v="Административная деятельность"/>
    <s v="Расходы на канцтовары и обслуживание оргтехники"/>
    <s v="Директор"/>
    <x v="0"/>
    <x v="6"/>
    <s v="Расходы на канцтовары и обслуживание оргтехники"/>
    <x v="17"/>
    <m/>
    <m/>
    <n v="255.14"/>
    <n v="153.30000000000001"/>
    <n v="304.24"/>
    <n v="140.30000000000001"/>
    <n v="300.08"/>
    <n v="174"/>
    <n v="437.29"/>
    <n v="150.52000000000001"/>
    <n v="248.74"/>
    <n v="143.94999999999999"/>
    <n v="150"/>
    <n v="150"/>
    <n v="2607.5599999999995"/>
  </r>
  <r>
    <x v="1"/>
    <x v="0"/>
    <x v="0"/>
    <s v="Административная деятельность"/>
    <s v="Расходы на канцтовары и обслуживание оргтехники"/>
    <s v="Директор по маркетингу"/>
    <x v="0"/>
    <x v="6"/>
    <s v="Расходы на канцтовары и обслуживание оргтехники"/>
    <x v="17"/>
    <m/>
    <m/>
    <m/>
    <m/>
    <n v="273.69"/>
    <n v="50"/>
    <n v="45.24"/>
    <n v="29.8"/>
    <n v="103.96"/>
    <m/>
    <n v="227.59"/>
    <n v="484.07"/>
    <n v="350"/>
    <n v="350"/>
    <n v="1914.35"/>
  </r>
  <r>
    <x v="1"/>
    <x v="0"/>
    <x v="0"/>
    <s v="Административная деятельность"/>
    <s v="Расходы на канцтовары и обслуживание оргтехники"/>
    <s v="ИТ отдел"/>
    <x v="0"/>
    <x v="6"/>
    <s v="Расходы на канцтовары и обслуживание оргтехники"/>
    <x v="17"/>
    <m/>
    <m/>
    <m/>
    <m/>
    <n v="84.43"/>
    <n v="150.25"/>
    <n v="50.56"/>
    <m/>
    <m/>
    <n v="41.58"/>
    <n v="56.1"/>
    <n v="71.64"/>
    <n v="50"/>
    <n v="50"/>
    <n v="554.55999999999995"/>
  </r>
  <r>
    <x v="1"/>
    <x v="0"/>
    <x v="0"/>
    <s v="Административная деятельность"/>
    <s v="Расходы на канцтовары и обслуживание оргтехники"/>
    <s v="ИТ отдел"/>
    <x v="0"/>
    <x v="6"/>
    <s v="Расходы на канцтовары и обслуживание оргтехники"/>
    <x v="38"/>
    <m/>
    <m/>
    <n v="8319.59"/>
    <n v="7371.12"/>
    <n v="10110.36"/>
    <n v="5359.07"/>
    <n v="3211.52"/>
    <n v="7933.22"/>
    <n v="3405.12"/>
    <n v="13259.9"/>
    <n v="5163.1400000000003"/>
    <n v="11039.11"/>
    <n v="8000"/>
    <n v="8000"/>
    <n v="91172.15"/>
  </r>
  <r>
    <x v="1"/>
    <x v="0"/>
    <x v="0"/>
    <s v="Административная деятельность"/>
    <s v="Расходы на канцтовары и обслуживание оргтехники"/>
    <s v="Отдел закупок (Киев)"/>
    <x v="0"/>
    <x v="6"/>
    <s v="Расходы на канцтовары и обслуживание оргтехники"/>
    <x v="17"/>
    <m/>
    <m/>
    <n v="100.27"/>
    <n v="98.81"/>
    <n v="100.67"/>
    <n v="102.79"/>
    <n v="99.71"/>
    <n v="101.22"/>
    <n v="111.65"/>
    <n v="97.64"/>
    <n v="99.68"/>
    <n v="98.46"/>
    <n v="500"/>
    <n v="100"/>
    <n v="1610.9"/>
  </r>
  <r>
    <x v="1"/>
    <x v="0"/>
    <x v="0"/>
    <s v="Административная деятельность"/>
    <s v="Расходы на канцтовары и обслуживание оргтехники"/>
    <s v="Отдел контроля качества"/>
    <x v="0"/>
    <x v="6"/>
    <s v="Расходы на канцтовары и обслуживание оргтехники"/>
    <x v="17"/>
    <m/>
    <m/>
    <n v="112.73"/>
    <n v="106.51"/>
    <n v="100.09"/>
    <n v="95.75"/>
    <n v="168.71"/>
    <n v="198.72"/>
    <n v="200.59"/>
    <n v="203.23"/>
    <n v="180.48"/>
    <n v="198.48"/>
    <n v="200"/>
    <n v="200"/>
    <n v="1965.2900000000002"/>
  </r>
  <r>
    <x v="1"/>
    <x v="0"/>
    <x v="0"/>
    <s v="Административная деятельность"/>
    <s v="Расходы на канцтовары и обслуживание оргтехники"/>
    <s v="Отдел персонала"/>
    <x v="0"/>
    <x v="6"/>
    <s v="Расходы на канцтовары и обслуживание оргтехники"/>
    <x v="17"/>
    <m/>
    <m/>
    <n v="237.69"/>
    <n v="253.25"/>
    <n v="383.53"/>
    <n v="389.75"/>
    <n v="524.26"/>
    <n v="389.47"/>
    <n v="345.42"/>
    <n v="360.95"/>
    <n v="150.13"/>
    <n v="239.95"/>
    <n v="350"/>
    <n v="350"/>
    <n v="3974.3999999999996"/>
  </r>
  <r>
    <x v="1"/>
    <x v="0"/>
    <x v="0"/>
    <s v="Административная деятельность"/>
    <s v="Расходы на канцтовары и обслуживание оргтехники"/>
    <s v="Охрана труда"/>
    <x v="0"/>
    <x v="6"/>
    <s v="Расходы на канцтовары и обслуживание оргтехники"/>
    <x v="17"/>
    <m/>
    <m/>
    <n v="91.74"/>
    <n v="156.15"/>
    <n v="91.18"/>
    <n v="89.71"/>
    <n v="79.56"/>
    <n v="48.21"/>
    <n v="32.25"/>
    <n v="51.74"/>
    <n v="122.7"/>
    <n v="49.14"/>
    <n v="100"/>
    <n v="100"/>
    <n v="1012.38"/>
  </r>
  <r>
    <x v="1"/>
    <x v="0"/>
    <x v="0"/>
    <s v="Административная деятельность"/>
    <s v="Расходы на канцтовары и обслуживание оргтехники"/>
    <s v="Служба безопасности"/>
    <x v="0"/>
    <x v="6"/>
    <s v="Расходы на канцтовары и обслуживание оргтехники"/>
    <x v="17"/>
    <m/>
    <m/>
    <n v="73.44"/>
    <n v="93.19"/>
    <n v="100.93"/>
    <n v="98.78"/>
    <n v="109.19"/>
    <n v="68.56"/>
    <n v="89.38"/>
    <n v="104.02"/>
    <n v="73.48"/>
    <n v="405.2"/>
    <n v="100"/>
    <n v="100"/>
    <n v="1416.17"/>
  </r>
  <r>
    <x v="1"/>
    <x v="0"/>
    <x v="0"/>
    <s v="Административная деятельность"/>
    <s v="Расходы на канцтовары и обслуживание оргтехники"/>
    <s v="Трейд - маркетинг"/>
    <x v="0"/>
    <x v="6"/>
    <s v="Расходы на канцтовары и обслуживание оргтехники"/>
    <x v="17"/>
    <m/>
    <m/>
    <m/>
    <n v="129.41"/>
    <n v="173.18"/>
    <n v="113.94"/>
    <n v="178.8"/>
    <m/>
    <n v="92.91"/>
    <m/>
    <m/>
    <m/>
    <m/>
    <m/>
    <n v="688.24"/>
  </r>
  <r>
    <x v="1"/>
    <x v="0"/>
    <x v="0"/>
    <s v="Административная деятельность"/>
    <s v="Расходы на канцтовары и обслуживание оргтехники"/>
    <s v="Финансово - экономический отдел"/>
    <x v="0"/>
    <x v="6"/>
    <s v="Расходы на канцтовары и обслуживание оргтехники"/>
    <x v="17"/>
    <m/>
    <m/>
    <n v="89.39"/>
    <n v="102.1"/>
    <n v="100"/>
    <n v="129.93"/>
    <n v="100"/>
    <n v="251.59"/>
    <n v="96.16"/>
    <n v="50.6"/>
    <n v="49.62"/>
    <n v="49.98"/>
    <n v="50"/>
    <n v="50"/>
    <n v="1119.3700000000001"/>
  </r>
  <r>
    <x v="1"/>
    <x v="0"/>
    <x v="0"/>
    <s v="Административная деятельность"/>
    <s v="Расходы на канцтовары и обслуживание оргтехники"/>
    <s v="Финансово - экономический отдел"/>
    <x v="0"/>
    <x v="6"/>
    <s v="Расходы на канцтовары и обслуживание оргтехники"/>
    <x v="38"/>
    <m/>
    <m/>
    <n v="600"/>
    <m/>
    <m/>
    <m/>
    <m/>
    <m/>
    <m/>
    <m/>
    <m/>
    <m/>
    <m/>
    <m/>
    <n v="600"/>
  </r>
  <r>
    <x v="1"/>
    <x v="0"/>
    <x v="0"/>
    <s v="Административная деятельность"/>
    <s v="Расходы на канцтовары и обслуживание оргтехники"/>
    <s v="Холодильное оборудование"/>
    <x v="1"/>
    <x v="6"/>
    <s v="Расходы на канцтовары и обслуживание оргтехники"/>
    <x v="17"/>
    <m/>
    <m/>
    <m/>
    <m/>
    <m/>
    <m/>
    <m/>
    <n v="40.36"/>
    <n v="36.46"/>
    <m/>
    <m/>
    <m/>
    <m/>
    <m/>
    <n v="76.819999999999993"/>
  </r>
  <r>
    <x v="1"/>
    <x v="0"/>
    <x v="0"/>
    <s v="Административная деятельность"/>
    <s v="Расходы на канцтовары и обслуживание оргтехники"/>
    <s v="Холодильное оборудование"/>
    <x v="0"/>
    <x v="6"/>
    <s v="Расходы на канцтовары и обслуживание оргтехники"/>
    <x v="17"/>
    <m/>
    <m/>
    <m/>
    <n v="28.55"/>
    <n v="124.59"/>
    <n v="52.57"/>
    <n v="47.74"/>
    <m/>
    <m/>
    <m/>
    <n v="144.43"/>
    <m/>
    <m/>
    <m/>
    <n v="397.88"/>
  </r>
  <r>
    <x v="1"/>
    <x v="0"/>
    <x v="0"/>
    <s v="Административная деятельность"/>
    <s v="Расходы на канцтовары и обслуживание оргтехники"/>
    <s v="Юридический отдел"/>
    <x v="0"/>
    <x v="6"/>
    <s v="Расходы на канцтовары и обслуживание оргтехники"/>
    <x v="17"/>
    <m/>
    <m/>
    <n v="154.18"/>
    <n v="142.06"/>
    <n v="110.23"/>
    <n v="106.06"/>
    <n v="131.08000000000001"/>
    <n v="102.31"/>
    <n v="79.52"/>
    <n v="134.51"/>
    <n v="127.9"/>
    <n v="119.15"/>
    <n v="150"/>
    <n v="150"/>
    <n v="1507.0000000000002"/>
  </r>
  <r>
    <x v="1"/>
    <x v="0"/>
    <x v="0"/>
    <s v="Административная деятельность"/>
    <s v="Расходы на контроль качества"/>
    <s v="Отдел контроля качества"/>
    <x v="0"/>
    <x v="13"/>
    <s v="Расходы на контроль качества"/>
    <x v="41"/>
    <m/>
    <m/>
    <n v="3321.93"/>
    <n v="6114.44"/>
    <n v="1209.67"/>
    <n v="2278.16"/>
    <n v="1852.67"/>
    <n v="1478.4"/>
    <m/>
    <n v="1209.68"/>
    <m/>
    <m/>
    <n v="3000"/>
    <n v="3000"/>
    <n v="23464.949999999997"/>
  </r>
  <r>
    <x v="1"/>
    <x v="0"/>
    <x v="0"/>
    <s v="Административная деятельность"/>
    <s v="Расходы на контроль качества"/>
    <s v="Отдел контроля качества"/>
    <x v="0"/>
    <x v="13"/>
    <s v="Расходы на контроль качества"/>
    <x v="42"/>
    <m/>
    <m/>
    <n v="14800"/>
    <n v="9633"/>
    <n v="14976"/>
    <m/>
    <n v="4795.8"/>
    <m/>
    <m/>
    <n v="67405.710000000006"/>
    <m/>
    <n v="6742.96"/>
    <n v="2000"/>
    <n v="5000"/>
    <n v="125353.47000000002"/>
  </r>
  <r>
    <x v="1"/>
    <x v="0"/>
    <x v="0"/>
    <s v="Административная деятельность"/>
    <s v="Расходы на контроль качества"/>
    <s v="Отдел контроля качества"/>
    <x v="0"/>
    <x v="29"/>
    <s v="Расходы на лабораторные иследования"/>
    <x v="111"/>
    <m/>
    <m/>
    <m/>
    <m/>
    <m/>
    <m/>
    <m/>
    <m/>
    <n v="2000"/>
    <m/>
    <m/>
    <m/>
    <m/>
    <m/>
    <n v="2000"/>
  </r>
  <r>
    <x v="1"/>
    <x v="0"/>
    <x v="0"/>
    <s v="Административная деятельность"/>
    <s v="Расходы на логистику"/>
    <s v="Директор"/>
    <x v="0"/>
    <x v="12"/>
    <s v="Найм транспорта"/>
    <x v="36"/>
    <m/>
    <m/>
    <m/>
    <m/>
    <n v="14960"/>
    <n v="14960"/>
    <n v="12920"/>
    <m/>
    <n v="700"/>
    <m/>
    <m/>
    <m/>
    <m/>
    <m/>
    <n v="43540"/>
  </r>
  <r>
    <x v="1"/>
    <x v="0"/>
    <x v="0"/>
    <s v="Административная деятельность"/>
    <s v="Расходы на логистику"/>
    <s v="Отдел закупок (Киев)"/>
    <x v="0"/>
    <x v="12"/>
    <s v="Найм транспорта"/>
    <x v="74"/>
    <m/>
    <m/>
    <m/>
    <n v="4100"/>
    <n v="4600"/>
    <m/>
    <m/>
    <m/>
    <m/>
    <m/>
    <m/>
    <m/>
    <m/>
    <m/>
    <n v="8700"/>
  </r>
  <r>
    <x v="1"/>
    <x v="0"/>
    <x v="0"/>
    <s v="Административная деятельность"/>
    <s v="Расходы на логистику"/>
    <s v="Холодильное оборудование"/>
    <x v="1"/>
    <x v="12"/>
    <s v="Расходы на транспортировку"/>
    <x v="93"/>
    <m/>
    <m/>
    <m/>
    <m/>
    <m/>
    <m/>
    <m/>
    <m/>
    <n v="41"/>
    <m/>
    <m/>
    <m/>
    <m/>
    <m/>
    <n v="41"/>
  </r>
  <r>
    <x v="1"/>
    <x v="0"/>
    <x v="0"/>
    <s v="Административная деятельность"/>
    <s v="Расходы на логистику"/>
    <s v="Холодильное оборудование"/>
    <x v="1"/>
    <x v="12"/>
    <s v="Расходы на транспортировку"/>
    <x v="75"/>
    <m/>
    <m/>
    <m/>
    <m/>
    <m/>
    <m/>
    <m/>
    <n v="35"/>
    <n v="200"/>
    <m/>
    <m/>
    <m/>
    <m/>
    <m/>
    <n v="235"/>
  </r>
  <r>
    <x v="1"/>
    <x v="0"/>
    <x v="0"/>
    <s v="Административная деятельность"/>
    <s v="Расходы на логистику"/>
    <s v="Холодильное оборудование"/>
    <x v="0"/>
    <x v="12"/>
    <s v="Расходы на транспортировку"/>
    <x v="93"/>
    <m/>
    <m/>
    <m/>
    <m/>
    <m/>
    <m/>
    <n v="100"/>
    <m/>
    <m/>
    <m/>
    <m/>
    <m/>
    <m/>
    <m/>
    <n v="100"/>
  </r>
  <r>
    <x v="1"/>
    <x v="0"/>
    <x v="0"/>
    <s v="Административная деятельность"/>
    <s v="Расходы на логистику"/>
    <s v="Холодильное оборудование"/>
    <x v="0"/>
    <x v="12"/>
    <s v="Расходы на транспортировку"/>
    <x v="75"/>
    <m/>
    <m/>
    <n v="8850.2999999999993"/>
    <n v="200"/>
    <m/>
    <n v="3361"/>
    <m/>
    <m/>
    <m/>
    <m/>
    <m/>
    <m/>
    <m/>
    <m/>
    <n v="12411.3"/>
  </r>
  <r>
    <x v="1"/>
    <x v="0"/>
    <x v="0"/>
    <s v="Административная деятельность"/>
    <s v="Расходы на налоги"/>
    <s v="Бренд - менеджер ЗПФ"/>
    <x v="0"/>
    <x v="3"/>
    <s v="Расходы на налоги"/>
    <x v="12"/>
    <m/>
    <m/>
    <n v="440.54411309557003"/>
    <n v="341.83686241389898"/>
    <n v="627.82204523599853"/>
    <n v="677.88281198707682"/>
    <n v="579.5308900610022"/>
    <n v="564.93570560095247"/>
    <n v="697.4186323184864"/>
    <n v="564.75404143306162"/>
    <n v="519.82924813672537"/>
    <n v="604.9437079097504"/>
    <n v="594.88"/>
    <n v="594.88"/>
    <n v="6809.2580581925231"/>
  </r>
  <r>
    <x v="1"/>
    <x v="0"/>
    <x v="0"/>
    <s v="Административная деятельность"/>
    <s v="Расходы на налоги"/>
    <s v="Бренд - менеджер Мороженое"/>
    <x v="0"/>
    <x v="3"/>
    <s v="Расходы на налоги"/>
    <x v="12"/>
    <m/>
    <m/>
    <n v="440.54411309557003"/>
    <n v="341.83686241389898"/>
    <n v="627.82204523599853"/>
    <n v="677.88281198707682"/>
    <n v="579.5308900610022"/>
    <n v="564.93570560095247"/>
    <n v="1744.0224405052047"/>
    <n v="564.75404143306162"/>
    <n v="519.82924813672537"/>
    <n v="604.9437079097504"/>
    <n v="594.88"/>
    <n v="594.88"/>
    <n v="7855.8618663792413"/>
  </r>
  <r>
    <x v="1"/>
    <x v="0"/>
    <x v="0"/>
    <s v="Административная деятельность"/>
    <s v="Расходы на налоги"/>
    <s v="Бухгалтерия"/>
    <x v="0"/>
    <x v="3"/>
    <s v="Расходы на налоги"/>
    <x v="12"/>
    <m/>
    <m/>
    <n v="9595.8754704262337"/>
    <n v="7460.560748036678"/>
    <n v="13141.098073594092"/>
    <n v="14188.932329347173"/>
    <n v="11568.883444446812"/>
    <n v="11277.527123732409"/>
    <n v="8958.8716306307961"/>
    <n v="11291.54921718643"/>
    <n v="10393.334282255977"/>
    <n v="12095.091226186158"/>
    <n v="11893.88"/>
    <n v="11893.88"/>
    <n v="133759.48354584276"/>
  </r>
  <r>
    <x v="1"/>
    <x v="0"/>
    <x v="0"/>
    <s v="Административная деятельность"/>
    <s v="Расходы на налоги"/>
    <s v="Генеральный директор"/>
    <x v="0"/>
    <x v="3"/>
    <s v="Расходы на налоги"/>
    <x v="12"/>
    <m/>
    <m/>
    <n v="3201.6540456982029"/>
    <n v="2488.3882038345109"/>
    <n v="4562.3902325766903"/>
    <n v="1525.2363269709231"/>
    <n v="1303.9445026372548"/>
    <m/>
    <n v="1229.7707773477762"/>
    <n v="1270.6965932243888"/>
    <n v="1169.6158083076321"/>
    <n v="1361.1233427969385"/>
    <n v="1338.48"/>
    <n v="1338.48"/>
    <n v="20789.779833394317"/>
  </r>
  <r>
    <x v="1"/>
    <x v="0"/>
    <x v="0"/>
    <s v="Административная деятельность"/>
    <s v="Расходы на налоги"/>
    <s v="Директор"/>
    <x v="0"/>
    <x v="3"/>
    <s v="Расходы на налоги"/>
    <x v="12"/>
    <m/>
    <m/>
    <n v="2351.9581422513493"/>
    <n v="1834.6395915412627"/>
    <n v="3364.5385291358984"/>
    <m/>
    <n v="3605.4092775463337"/>
    <n v="3514.6089175271736"/>
    <n v="5093.9594318575855"/>
    <n v="3027.4359624581989"/>
    <n v="2786.6108866673071"/>
    <n v="3242.8777878977949"/>
    <n v="3188.93"/>
    <n v="3188.93"/>
    <n v="35199.898526882906"/>
  </r>
  <r>
    <x v="1"/>
    <x v="0"/>
    <x v="0"/>
    <s v="Административная деятельность"/>
    <s v="Расходы на налоги"/>
    <s v="Директор по маркетингу"/>
    <x v="0"/>
    <x v="3"/>
    <s v="Расходы на налоги"/>
    <x v="12"/>
    <m/>
    <m/>
    <n v="2103.5966589120858"/>
    <n v="1634.3715307331199"/>
    <n v="2997.8481552499925"/>
    <n v="3236.8881481809631"/>
    <n v="2767.2580516453399"/>
    <n v="3544.969653319371"/>
    <n v="2543.5761738925758"/>
    <n v="2696.6986491270231"/>
    <n v="2482.1829121751875"/>
    <n v="2722.2466855938769"/>
    <n v="2676.96"/>
    <n v="2676.96"/>
    <n v="32083.556618829534"/>
  </r>
  <r>
    <x v="1"/>
    <x v="0"/>
    <x v="0"/>
    <s v="Административная деятельность"/>
    <s v="Расходы на налоги"/>
    <s v="ИТ отдел"/>
    <x v="0"/>
    <x v="3"/>
    <s v="Расходы на налоги"/>
    <x v="12"/>
    <m/>
    <m/>
    <n v="2175.1865584093766"/>
    <n v="1690.7688582020796"/>
    <n v="3099.8713483527426"/>
    <n v="3347.0463841861915"/>
    <n v="2861.4337696761982"/>
    <n v="2789.3700464047029"/>
    <n v="3635.5342472841558"/>
    <n v="2788.4730795757418"/>
    <n v="2566.6569126750815"/>
    <n v="2986.6858360189231"/>
    <n v="2937.22"/>
    <n v="2937.22"/>
    <n v="33815.467040785188"/>
  </r>
  <r>
    <x v="1"/>
    <x v="0"/>
    <x v="0"/>
    <s v="Административная деятельность"/>
    <s v="Расходы на налоги"/>
    <s v="Отдел закупок (Киев)"/>
    <x v="0"/>
    <x v="3"/>
    <s v="Расходы на налоги"/>
    <x v="12"/>
    <m/>
    <m/>
    <n v="1982.4485089300649"/>
    <n v="1539.9923296626157"/>
    <n v="2825.1992035619933"/>
    <n v="3050.4726539418461"/>
    <n v="2607.8890052745096"/>
    <n v="2542.2106752042864"/>
    <n v="2607.3040525669708"/>
    <n v="2541.3931864487777"/>
    <n v="2339.2316166152641"/>
    <n v="2722.2466855938769"/>
    <n v="2676.96"/>
    <n v="2676.96"/>
    <n v="30112.307917800204"/>
  </r>
  <r>
    <x v="1"/>
    <x v="0"/>
    <x v="0"/>
    <s v="Административная деятельность"/>
    <s v="Расходы на налоги"/>
    <s v="Отдел контроля качества"/>
    <x v="0"/>
    <x v="3"/>
    <s v="Расходы на налоги"/>
    <x v="12"/>
    <m/>
    <m/>
    <n v="1866.8027170039552"/>
    <n v="1450.2169920589656"/>
    <n v="2659.5473944236087"/>
    <n v="2872.52385768058"/>
    <n v="2455.7582498416054"/>
    <n v="2393.911253830825"/>
    <n v="2116.3457645762874"/>
    <n v="2393.1414531409059"/>
    <n v="2202.7729436240206"/>
    <n v="2563.444894598741"/>
    <n v="2520.8000000000002"/>
    <n v="2520.8000000000002"/>
    <n v="28016.065520779495"/>
  </r>
  <r>
    <x v="1"/>
    <x v="0"/>
    <x v="0"/>
    <s v="Административная деятельность"/>
    <s v="Расходы на налоги"/>
    <s v="Отдел персонала"/>
    <x v="0"/>
    <x v="3"/>
    <s v="Расходы на налоги"/>
    <x v="12"/>
    <m/>
    <m/>
    <n v="1899.8464877246458"/>
    <n v="1476.6892069933751"/>
    <n v="2707.4825700802435"/>
    <n v="2923.3696266942688"/>
    <n v="2499.2269633880724"/>
    <n v="2436.2852304041076"/>
    <n v="2252.9115634126733"/>
    <n v="2435.5018036800789"/>
    <n v="2241.7636325896283"/>
    <n v="2608.8197403607987"/>
    <n v="2565.42"/>
    <n v="2565.42"/>
    <n v="28612.736825327891"/>
  </r>
  <r>
    <x v="1"/>
    <x v="0"/>
    <x v="0"/>
    <s v="Административная деятельность"/>
    <s v="Расходы на налоги"/>
    <s v="Охрана труда"/>
    <x v="0"/>
    <x v="3"/>
    <s v="Расходы на налоги"/>
    <x v="12"/>
    <m/>
    <m/>
    <n v="1239.0303180812905"/>
    <n v="963.35843043916987"/>
    <n v="1765.7495022262456"/>
    <n v="1906.5454087136536"/>
    <n v="1629.9306282965686"/>
    <n v="1588.8816720026787"/>
    <n v="645.59148754269029"/>
    <n v="1588.3707415304859"/>
    <n v="1462.0197603845402"/>
    <n v="1701.404178496173"/>
    <n v="1673.1"/>
    <n v="1673.1"/>
    <n v="17837.082127713496"/>
  </r>
  <r>
    <x v="1"/>
    <x v="0"/>
    <x v="0"/>
    <s v="Административная деятельность"/>
    <s v="Расходы на налоги"/>
    <s v="Служба безопасности"/>
    <x v="0"/>
    <x v="3"/>
    <s v="Расходы на налоги"/>
    <x v="12"/>
    <m/>
    <m/>
    <n v="1982.4485089300649"/>
    <n v="1539.9923296626157"/>
    <n v="2825.1992035619933"/>
    <n v="3050.4726539418461"/>
    <n v="2607.8890052745096"/>
    <n v="2542.2106752042864"/>
    <n v="2902.7484660061473"/>
    <n v="2541.3931864487777"/>
    <n v="2339.2316166152641"/>
    <n v="2722.2466855938769"/>
    <n v="2676.96"/>
    <n v="2676.96"/>
    <n v="30407.752331239382"/>
  </r>
  <r>
    <x v="1"/>
    <x v="0"/>
    <x v="0"/>
    <s v="Административная деятельность"/>
    <s v="Расходы на налоги"/>
    <s v="Трейд - маркетинг"/>
    <x v="0"/>
    <x v="3"/>
    <s v="Расходы на налоги"/>
    <x v="12"/>
    <m/>
    <m/>
    <m/>
    <n v="291.19436427850655"/>
    <n v="533.6508492024991"/>
    <m/>
    <n v="492.60320494779745"/>
    <n v="480.19724908741534"/>
    <n v="611.57727304990112"/>
    <n v="480.04283393394911"/>
    <n v="441.85660859389316"/>
    <n v="514.20418555770118"/>
    <n v="505.65"/>
    <n v="505.65"/>
    <n v="4856.6265686516626"/>
  </r>
  <r>
    <x v="1"/>
    <x v="0"/>
    <x v="0"/>
    <s v="Административная деятельность"/>
    <s v="Расходы на налоги"/>
    <s v="Финансово - экономический отдел"/>
    <x v="0"/>
    <x v="3"/>
    <s v="Расходы на налоги"/>
    <x v="12"/>
    <m/>
    <m/>
    <n v="1866.8027170039552"/>
    <n v="1450.2169920589656"/>
    <n v="2660.3916951837432"/>
    <n v="2872.52385768058"/>
    <n v="2455.7582498416054"/>
    <n v="2393.911253830825"/>
    <n v="3724.5988986991897"/>
    <n v="2393.1414531409059"/>
    <n v="2202.7729436240206"/>
    <n v="2563.444894598741"/>
    <n v="2520.8000000000002"/>
    <n v="2520.8000000000002"/>
    <n v="29625.16295566253"/>
  </r>
  <r>
    <x v="1"/>
    <x v="0"/>
    <x v="0"/>
    <s v="Административная деятельность"/>
    <s v="Расходы на налоги"/>
    <s v="Холодильное оборудование"/>
    <x v="1"/>
    <x v="3"/>
    <s v="Расходы на налоги"/>
    <x v="12"/>
    <m/>
    <m/>
    <m/>
    <m/>
    <m/>
    <m/>
    <m/>
    <n v="600.24418720101198"/>
    <n v="2247.578711379851"/>
    <m/>
    <m/>
    <m/>
    <m/>
    <m/>
    <n v="2847.8228985808628"/>
  </r>
  <r>
    <x v="1"/>
    <x v="0"/>
    <x v="0"/>
    <s v="Административная деятельность"/>
    <s v="Расходы на налоги"/>
    <s v="Холодильное оборудование"/>
    <x v="0"/>
    <x v="3"/>
    <s v="Расходы на налоги"/>
    <x v="12"/>
    <m/>
    <m/>
    <n v="1762.1764523822801"/>
    <n v="1369.6493813890229"/>
    <n v="4277.0376831702397"/>
    <m/>
    <m/>
    <m/>
    <m/>
    <n v="600.05116902262796"/>
    <m/>
    <m/>
    <m/>
    <m/>
    <n v="8008.9146859641705"/>
  </r>
  <r>
    <x v="1"/>
    <x v="0"/>
    <x v="0"/>
    <s v="Административная деятельность"/>
    <s v="Расходы на налоги"/>
    <s v="Юридический отдел"/>
    <x v="0"/>
    <x v="3"/>
    <s v="Расходы на налоги"/>
    <x v="12"/>
    <m/>
    <m/>
    <n v="1101.360282738925"/>
    <n v="856.31860483481762"/>
    <n v="1569.5551130899962"/>
    <n v="1694.7070299676921"/>
    <n v="1448.8272251525054"/>
    <n v="1412.3392640023812"/>
    <n v="1528.1797713269095"/>
    <n v="1411.8851035826542"/>
    <n v="1299.5731203418134"/>
    <n v="3024.5151561074163"/>
    <n v="1487.2"/>
    <n v="1487.2"/>
    <n v="18321.66067114511"/>
  </r>
  <r>
    <x v="1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45"/>
    <m/>
    <m/>
    <m/>
    <m/>
    <m/>
    <m/>
    <n v="240"/>
    <m/>
    <m/>
    <m/>
    <m/>
    <m/>
    <m/>
    <m/>
    <n v="240"/>
  </r>
  <r>
    <x v="1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25"/>
    <m/>
    <m/>
    <n v="1080"/>
    <n v="276"/>
    <m/>
    <m/>
    <n v="193.85"/>
    <n v="1381.98"/>
    <m/>
    <m/>
    <m/>
    <m/>
    <n v="1200"/>
    <n v="1200"/>
    <n v="5331.83"/>
  </r>
  <r>
    <x v="1"/>
    <x v="0"/>
    <x v="0"/>
    <s v="Административная деятельность"/>
    <s v="Расходы на персонал"/>
    <s v="Бухгалтерия"/>
    <x v="0"/>
    <x v="7"/>
    <s v="Расходы на персонал"/>
    <x v="26"/>
    <m/>
    <m/>
    <n v="500"/>
    <n v="600"/>
    <n v="600"/>
    <n v="200"/>
    <n v="465"/>
    <n v="406"/>
    <n v="347"/>
    <n v="240"/>
    <n v="400"/>
    <n v="400"/>
    <n v="450"/>
    <n v="450"/>
    <n v="5058"/>
  </r>
  <r>
    <x v="1"/>
    <x v="0"/>
    <x v="0"/>
    <s v="Административная деятельность"/>
    <s v="Расходы на персонал"/>
    <s v="Генеральный директор"/>
    <x v="0"/>
    <x v="7"/>
    <s v="Расходы на персонал"/>
    <x v="29"/>
    <m/>
    <m/>
    <n v="7432.02"/>
    <n v="9618.4599999999991"/>
    <n v="6687.29"/>
    <n v="7823.7"/>
    <n v="6589.32"/>
    <n v="7326.97"/>
    <n v="4944.47"/>
    <n v="8301.44"/>
    <n v="6725.15"/>
    <n v="5398.68"/>
    <n v="7000"/>
    <n v="7000"/>
    <n v="84847.5"/>
  </r>
  <r>
    <x v="1"/>
    <x v="0"/>
    <x v="0"/>
    <s v="Административная деятельность"/>
    <s v="Расходы на персонал"/>
    <s v="Генеральный директор"/>
    <x v="0"/>
    <x v="7"/>
    <s v="Расходы на персонал"/>
    <x v="26"/>
    <m/>
    <m/>
    <m/>
    <m/>
    <m/>
    <n v="250"/>
    <m/>
    <m/>
    <m/>
    <m/>
    <m/>
    <m/>
    <m/>
    <m/>
    <n v="250"/>
  </r>
  <r>
    <x v="1"/>
    <x v="0"/>
    <x v="0"/>
    <s v="Административная деятельность"/>
    <s v="Расходы на персонал"/>
    <s v="Директор"/>
    <x v="0"/>
    <x v="7"/>
    <s v="Расходы на персонал"/>
    <x v="37"/>
    <m/>
    <m/>
    <n v="1850"/>
    <n v="1850"/>
    <n v="1850"/>
    <n v="1850"/>
    <n v="1850"/>
    <n v="1850"/>
    <n v="1850"/>
    <n v="1850"/>
    <n v="1850"/>
    <n v="1850"/>
    <n v="1850"/>
    <n v="1850"/>
    <n v="22200"/>
  </r>
  <r>
    <x v="1"/>
    <x v="0"/>
    <x v="0"/>
    <s v="Административная деятельность"/>
    <s v="Расходы на персонал"/>
    <s v="Директор"/>
    <x v="0"/>
    <x v="7"/>
    <s v="Расходы на персонал"/>
    <x v="29"/>
    <m/>
    <m/>
    <n v="6499.9"/>
    <n v="6199.65"/>
    <n v="6570.5"/>
    <n v="7186.12"/>
    <n v="3254.01"/>
    <n v="2735.44"/>
    <n v="4095.8"/>
    <n v="4009.04"/>
    <n v="3746.45"/>
    <n v="4717.53"/>
    <n v="4000"/>
    <n v="4000"/>
    <n v="57014.439999999995"/>
  </r>
  <r>
    <x v="1"/>
    <x v="0"/>
    <x v="0"/>
    <s v="Административная деятельность"/>
    <s v="Расходы на персонал"/>
    <s v="Директор"/>
    <x v="0"/>
    <x v="7"/>
    <s v="Расходы на персонал"/>
    <x v="90"/>
    <m/>
    <m/>
    <m/>
    <m/>
    <n v="1525"/>
    <m/>
    <m/>
    <m/>
    <m/>
    <m/>
    <m/>
    <m/>
    <m/>
    <m/>
    <n v="1525"/>
  </r>
  <r>
    <x v="1"/>
    <x v="0"/>
    <x v="0"/>
    <s v="Административная деятельность"/>
    <s v="Расходы на персонал"/>
    <s v="Директор"/>
    <x v="0"/>
    <x v="7"/>
    <s v="Расходы на персонал"/>
    <x v="26"/>
    <m/>
    <m/>
    <n v="6409"/>
    <n v="6684"/>
    <n v="7009"/>
    <n v="7113"/>
    <n v="7112"/>
    <n v="8356"/>
    <m/>
    <n v="7584"/>
    <n v="8097"/>
    <n v="7923"/>
    <m/>
    <m/>
    <n v="66287"/>
  </r>
  <r>
    <x v="1"/>
    <x v="0"/>
    <x v="0"/>
    <s v="Административная деятельность"/>
    <s v="Расходы на персонал"/>
    <s v="Отдел контроля качества"/>
    <x v="0"/>
    <x v="7"/>
    <s v="Расходы на персонал"/>
    <x v="29"/>
    <m/>
    <m/>
    <m/>
    <m/>
    <n v="751.67"/>
    <m/>
    <m/>
    <m/>
    <m/>
    <n v="25.68"/>
    <m/>
    <m/>
    <n v="200"/>
    <n v="200"/>
    <n v="1177.3499999999999"/>
  </r>
  <r>
    <x v="1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29"/>
    <m/>
    <m/>
    <m/>
    <m/>
    <m/>
    <n v="220"/>
    <m/>
    <m/>
    <m/>
    <m/>
    <m/>
    <m/>
    <m/>
    <m/>
    <n v="220"/>
  </r>
  <r>
    <x v="1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4"/>
    <m/>
    <m/>
    <n v="141"/>
    <n v="2568.48"/>
    <n v="8538.39"/>
    <n v="147.6"/>
    <n v="366.14"/>
    <n v="189295.86"/>
    <n v="148.56"/>
    <n v="1222.72"/>
    <n v="149.16"/>
    <n v="18561.41"/>
    <n v="150"/>
    <n v="90000"/>
    <n v="311289.31999999995"/>
  </r>
  <r>
    <x v="1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5"/>
    <m/>
    <m/>
    <m/>
    <m/>
    <m/>
    <m/>
    <m/>
    <m/>
    <m/>
    <m/>
    <n v="736.08"/>
    <m/>
    <m/>
    <m/>
    <n v="736.08"/>
  </r>
  <r>
    <x v="1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90"/>
    <m/>
    <m/>
    <n v="1550"/>
    <n v="1334"/>
    <m/>
    <n v="1723.5"/>
    <n v="1527"/>
    <n v="1440"/>
    <m/>
    <n v="906"/>
    <m/>
    <m/>
    <m/>
    <m/>
    <n v="8480.5"/>
  </r>
  <r>
    <x v="1"/>
    <x v="0"/>
    <x v="0"/>
    <s v="Административная деятельность"/>
    <s v="Расходы на персонал"/>
    <s v="Отдел персонала"/>
    <x v="0"/>
    <x v="7"/>
    <s v="Расходы на персонал"/>
    <x v="46"/>
    <m/>
    <m/>
    <n v="1695"/>
    <n v="1852"/>
    <n v="528"/>
    <n v="1930"/>
    <n v="34551.46"/>
    <n v="2586"/>
    <n v="2049"/>
    <n v="19382.78"/>
    <n v="922"/>
    <n v="1586"/>
    <n v="4000"/>
    <n v="4000"/>
    <n v="75082.239999999991"/>
  </r>
  <r>
    <x v="1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45"/>
    <m/>
    <m/>
    <m/>
    <m/>
    <n v="700"/>
    <m/>
    <n v="1800"/>
    <m/>
    <m/>
    <n v="3600"/>
    <n v="480"/>
    <n v="400"/>
    <n v="400"/>
    <n v="400"/>
    <n v="7780"/>
  </r>
  <r>
    <x v="1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48"/>
    <m/>
    <m/>
    <m/>
    <m/>
    <m/>
    <m/>
    <m/>
    <m/>
    <m/>
    <m/>
    <m/>
    <m/>
    <n v="2400"/>
    <n v="2400"/>
    <n v="4800"/>
  </r>
  <r>
    <x v="1"/>
    <x v="0"/>
    <x v="0"/>
    <s v="Административная деятельность"/>
    <s v="Расходы на персонал"/>
    <s v="Охрана труда"/>
    <x v="0"/>
    <x v="7"/>
    <s v="Расходы на персонал"/>
    <x v="26"/>
    <m/>
    <m/>
    <m/>
    <n v="100"/>
    <n v="100"/>
    <m/>
    <m/>
    <m/>
    <m/>
    <m/>
    <m/>
    <m/>
    <n v="100"/>
    <n v="100"/>
    <n v="400"/>
  </r>
  <r>
    <x v="1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37"/>
    <m/>
    <m/>
    <n v="400"/>
    <n v="400"/>
    <n v="400"/>
    <n v="400"/>
    <n v="400"/>
    <n v="400"/>
    <n v="200"/>
    <n v="200"/>
    <n v="266.67"/>
    <n v="400"/>
    <m/>
    <m/>
    <n v="3466.67"/>
  </r>
  <r>
    <x v="1"/>
    <x v="0"/>
    <x v="0"/>
    <s v="Административная деятельность"/>
    <s v="Расходы на персонал"/>
    <s v="Служба безопасности"/>
    <x v="0"/>
    <x v="7"/>
    <s v="Расходы на персонал"/>
    <x v="29"/>
    <m/>
    <m/>
    <n v="14016.55"/>
    <n v="12098.69"/>
    <n v="15831.75"/>
    <n v="15602.01"/>
    <n v="20735.830000000002"/>
    <n v="20751.88"/>
    <n v="23785.13"/>
    <n v="16935.759999999998"/>
    <n v="10684.73"/>
    <n v="11012"/>
    <n v="7500"/>
    <n v="7500"/>
    <n v="176454.33000000002"/>
  </r>
  <r>
    <x v="1"/>
    <x v="0"/>
    <x v="0"/>
    <s v="Административная деятельность"/>
    <s v="Расходы на персонал"/>
    <s v="Финансово - экономический отдел"/>
    <x v="0"/>
    <x v="7"/>
    <s v="Расходы на персонал"/>
    <x v="29"/>
    <m/>
    <m/>
    <n v="1500"/>
    <n v="1500"/>
    <n v="1500"/>
    <n v="1500"/>
    <n v="1500"/>
    <n v="1500"/>
    <n v="1500"/>
    <m/>
    <n v="3000"/>
    <n v="1500"/>
    <n v="1500"/>
    <n v="1500"/>
    <n v="18000"/>
  </r>
  <r>
    <x v="1"/>
    <x v="0"/>
    <x v="0"/>
    <s v="Административная деятельность"/>
    <s v="Расходы на персонал"/>
    <s v="Финансово - экономический отдел"/>
    <x v="0"/>
    <x v="7"/>
    <s v="Расходы на персонал"/>
    <x v="45"/>
    <m/>
    <m/>
    <m/>
    <m/>
    <m/>
    <n v="43695"/>
    <m/>
    <m/>
    <m/>
    <n v="39924"/>
    <m/>
    <m/>
    <m/>
    <m/>
    <n v="83619"/>
  </r>
  <r>
    <x v="1"/>
    <x v="0"/>
    <x v="0"/>
    <s v="Административная деятельность"/>
    <s v="Расходы на персонал"/>
    <s v="Юридический отдел"/>
    <x v="0"/>
    <x v="7"/>
    <s v="Расходы на персонал"/>
    <x v="26"/>
    <m/>
    <m/>
    <n v="468"/>
    <n v="351"/>
    <n v="331.55"/>
    <n v="354"/>
    <n v="479"/>
    <n v="212"/>
    <n v="400"/>
    <n v="314"/>
    <n v="350"/>
    <n v="258.3"/>
    <n v="550"/>
    <n v="550"/>
    <n v="4617.8500000000004"/>
  </r>
  <r>
    <x v="1"/>
    <x v="0"/>
    <x v="0"/>
    <s v="Административная деятельность"/>
    <s v="Расходы на содержание автопарка"/>
    <s v="Генеральный директор"/>
    <x v="0"/>
    <x v="10"/>
    <s v="Ремонт и ТО транспорта"/>
    <x v="30"/>
    <m/>
    <m/>
    <n v="2215.1999999999998"/>
    <m/>
    <m/>
    <n v="1235.94"/>
    <m/>
    <m/>
    <m/>
    <n v="27848.06"/>
    <m/>
    <m/>
    <n v="2000"/>
    <n v="2000"/>
    <n v="35299.199999999997"/>
  </r>
  <r>
    <x v="1"/>
    <x v="0"/>
    <x v="0"/>
    <s v="Административная деятельность"/>
    <s v="Расходы на содержание автопарка"/>
    <s v="Холодильное оборудование"/>
    <x v="1"/>
    <x v="10"/>
    <s v="Ремонт и ТО транспорта"/>
    <x v="80"/>
    <m/>
    <m/>
    <m/>
    <m/>
    <m/>
    <m/>
    <m/>
    <n v="6075.58"/>
    <m/>
    <m/>
    <m/>
    <m/>
    <m/>
    <m/>
    <n v="6075.58"/>
  </r>
  <r>
    <x v="1"/>
    <x v="0"/>
    <x v="0"/>
    <s v="Административная деятельность"/>
    <s v="Расходы на списание"/>
    <s v="Бренд - менеджер Мороженое"/>
    <x v="0"/>
    <x v="22"/>
    <s v="Расходы на списание"/>
    <x v="77"/>
    <m/>
    <m/>
    <m/>
    <m/>
    <m/>
    <m/>
    <m/>
    <n v="117"/>
    <m/>
    <m/>
    <m/>
    <m/>
    <m/>
    <m/>
    <n v="117"/>
  </r>
  <r>
    <x v="1"/>
    <x v="0"/>
    <x v="0"/>
    <s v="Административная деятельность"/>
    <s v="Расходы на списание"/>
    <s v="Отдел закупок (Киев)"/>
    <x v="0"/>
    <x v="22"/>
    <s v="Расходы на списание"/>
    <x v="77"/>
    <m/>
    <m/>
    <n v="2365.1"/>
    <n v="122.4"/>
    <n v="663.53"/>
    <m/>
    <n v="63"/>
    <n v="3375.57"/>
    <n v="50797.599999999999"/>
    <m/>
    <n v="1445.07"/>
    <n v="59.6"/>
    <m/>
    <m/>
    <n v="58891.869999999995"/>
  </r>
  <r>
    <x v="1"/>
    <x v="0"/>
    <x v="0"/>
    <s v="Административная деятельность"/>
    <s v="Расходы на услуги сторонних организаций"/>
    <s v="Бухгалтерия"/>
    <x v="0"/>
    <x v="8"/>
    <s v="Расходы на услуги сторонних организаций"/>
    <x v="27"/>
    <m/>
    <m/>
    <m/>
    <n v="69.12"/>
    <n v="1230"/>
    <n v="428"/>
    <n v="295"/>
    <m/>
    <n v="170"/>
    <m/>
    <n v="1960"/>
    <m/>
    <n v="1000"/>
    <n v="1000"/>
    <n v="6152.12"/>
  </r>
  <r>
    <x v="1"/>
    <x v="0"/>
    <x v="0"/>
    <s v="Административная деятельность"/>
    <s v="Расходы на услуги сторонних организаций"/>
    <s v="Бухгалтерия"/>
    <x v="0"/>
    <x v="8"/>
    <s v="Расходы на услуги сторонних организаций"/>
    <x v="47"/>
    <m/>
    <m/>
    <n v="2820"/>
    <m/>
    <n v="12"/>
    <m/>
    <m/>
    <n v="1105.98"/>
    <m/>
    <m/>
    <m/>
    <m/>
    <m/>
    <m/>
    <n v="3937.98"/>
  </r>
  <r>
    <x v="1"/>
    <x v="0"/>
    <x v="0"/>
    <s v="Административная деятельность"/>
    <s v="Расходы на услуги сторонних организаций"/>
    <s v="Бухгалтерия"/>
    <x v="0"/>
    <x v="8"/>
    <s v="Расходы на услуги сторонних организаций"/>
    <x v="112"/>
    <m/>
    <m/>
    <m/>
    <m/>
    <m/>
    <m/>
    <m/>
    <m/>
    <n v="1951.58"/>
    <m/>
    <m/>
    <m/>
    <m/>
    <m/>
    <n v="1951.58"/>
  </r>
  <r>
    <x v="1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27"/>
    <m/>
    <m/>
    <n v="2306.56"/>
    <n v="1178.72"/>
    <n v="7612.39"/>
    <n v="1181.07"/>
    <n v="2528.48"/>
    <n v="5759.16"/>
    <n v="2500.9299999999998"/>
    <n v="1214.03"/>
    <n v="6884.02"/>
    <n v="1207.18"/>
    <n v="2900"/>
    <n v="5600"/>
    <n v="40872.539999999994"/>
  </r>
  <r>
    <x v="1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31"/>
    <m/>
    <m/>
    <m/>
    <m/>
    <m/>
    <n v="3262.61"/>
    <n v="209.32"/>
    <n v="959.21"/>
    <n v="1931.6"/>
    <m/>
    <n v="1064.25"/>
    <n v="5000"/>
    <n v="1000"/>
    <n v="1000"/>
    <n v="14426.99"/>
  </r>
  <r>
    <x v="1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47"/>
    <m/>
    <m/>
    <m/>
    <m/>
    <n v="596.26"/>
    <m/>
    <n v="28405"/>
    <m/>
    <m/>
    <m/>
    <n v="455"/>
    <m/>
    <m/>
    <m/>
    <n v="29456.26"/>
  </r>
  <r>
    <x v="1"/>
    <x v="0"/>
    <x v="0"/>
    <s v="Административная деятельность"/>
    <s v="Расходы на услуги сторонних организаций"/>
    <s v="Генеральный директор"/>
    <x v="0"/>
    <x v="8"/>
    <s v="Расходы на услуги сторонних организаций"/>
    <x v="32"/>
    <m/>
    <m/>
    <n v="1624.86"/>
    <n v="1087.8900000000001"/>
    <n v="595"/>
    <n v="1040"/>
    <n v="1452"/>
    <n v="1616.58"/>
    <n v="335"/>
    <n v="557.99"/>
    <n v="20"/>
    <n v="707.56"/>
    <n v="3140"/>
    <n v="3140"/>
    <n v="15316.88"/>
  </r>
  <r>
    <x v="1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27"/>
    <m/>
    <m/>
    <n v="1828.66"/>
    <n v="2496.8200000000002"/>
    <n v="1443.03"/>
    <n v="6575.87"/>
    <n v="12655.89"/>
    <n v="9815.5400000000009"/>
    <n v="979.96"/>
    <n v="1822.01"/>
    <n v="5304.18"/>
    <n v="1509.22"/>
    <n v="2000"/>
    <n v="2000"/>
    <n v="48431.18"/>
  </r>
  <r>
    <x v="1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47"/>
    <m/>
    <m/>
    <n v="0"/>
    <m/>
    <m/>
    <n v="5"/>
    <m/>
    <m/>
    <m/>
    <m/>
    <m/>
    <m/>
    <m/>
    <m/>
    <n v="5"/>
  </r>
  <r>
    <x v="1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112"/>
    <m/>
    <m/>
    <m/>
    <n v="11478.38"/>
    <m/>
    <m/>
    <m/>
    <m/>
    <m/>
    <m/>
    <m/>
    <m/>
    <m/>
    <m/>
    <n v="11478.38"/>
  </r>
  <r>
    <x v="1"/>
    <x v="0"/>
    <x v="0"/>
    <s v="Административная деятельность"/>
    <s v="Расходы на услуги сторонних организаций"/>
    <s v="Директор"/>
    <x v="0"/>
    <x v="8"/>
    <s v="Расходы на услуги сторонних организаций"/>
    <x v="32"/>
    <m/>
    <m/>
    <n v="6459.22"/>
    <n v="8375.92"/>
    <n v="9156.2099999999991"/>
    <n v="8514.43"/>
    <n v="9104.3799999999992"/>
    <n v="4891.3599999999997"/>
    <n v="7064.53"/>
    <n v="2858.56"/>
    <n v="6734.05"/>
    <n v="6688.86"/>
    <n v="8600"/>
    <n v="8600"/>
    <n v="87047.51999999999"/>
  </r>
  <r>
    <x v="1"/>
    <x v="0"/>
    <x v="0"/>
    <s v="Административная деятельность"/>
    <s v="Расходы на услуги сторонних организаций"/>
    <s v="ИТ отдел"/>
    <x v="0"/>
    <x v="8"/>
    <s v="Расходы на услуги сторонних организаций"/>
    <x v="47"/>
    <m/>
    <m/>
    <m/>
    <m/>
    <m/>
    <m/>
    <m/>
    <n v="1260"/>
    <m/>
    <m/>
    <m/>
    <m/>
    <m/>
    <m/>
    <n v="1260"/>
  </r>
  <r>
    <x v="1"/>
    <x v="0"/>
    <x v="0"/>
    <s v="Административная деятельность"/>
    <s v="Расходы на услуги сторонних организаций"/>
    <s v="ИТ отдел"/>
    <x v="0"/>
    <x v="8"/>
    <s v="Расходы на услуги сторонних организаций"/>
    <x v="32"/>
    <m/>
    <m/>
    <m/>
    <m/>
    <m/>
    <m/>
    <m/>
    <m/>
    <m/>
    <m/>
    <m/>
    <m/>
    <n v="50"/>
    <n v="50"/>
    <n v="100"/>
  </r>
  <r>
    <x v="1"/>
    <x v="0"/>
    <x v="0"/>
    <s v="Административная деятельность"/>
    <s v="Расходы на услуги сторонних организаций"/>
    <s v="Отдел закупок (Киев)"/>
    <x v="0"/>
    <x v="8"/>
    <s v="Расходы на услуги сторонних организаций"/>
    <x v="27"/>
    <m/>
    <m/>
    <n v="52.13"/>
    <m/>
    <m/>
    <m/>
    <m/>
    <m/>
    <m/>
    <n v="62.3"/>
    <m/>
    <m/>
    <m/>
    <m/>
    <n v="114.43"/>
  </r>
  <r>
    <x v="1"/>
    <x v="0"/>
    <x v="0"/>
    <s v="Административная деятельность"/>
    <s v="Расходы на услуги сторонних организаций"/>
    <s v="Отдел закупок (Киев)"/>
    <x v="0"/>
    <x v="8"/>
    <s v="Расходы на услуги сторонних организаций"/>
    <x v="47"/>
    <m/>
    <m/>
    <n v="14131.3"/>
    <n v="8663.6299999999992"/>
    <n v="6424.72"/>
    <n v="81889.570000000007"/>
    <n v="14429"/>
    <n v="3551.25"/>
    <m/>
    <m/>
    <m/>
    <m/>
    <m/>
    <m/>
    <n v="129089.47"/>
  </r>
  <r>
    <x v="1"/>
    <x v="0"/>
    <x v="0"/>
    <s v="Административная деятельность"/>
    <s v="Расходы на услуги сторонних организаций"/>
    <s v="Отдел контроля качества"/>
    <x v="0"/>
    <x v="8"/>
    <s v="Расходы на услуги сторонних организаций"/>
    <x v="27"/>
    <m/>
    <m/>
    <n v="77.47"/>
    <n v="184.76"/>
    <m/>
    <m/>
    <m/>
    <m/>
    <m/>
    <m/>
    <m/>
    <m/>
    <m/>
    <m/>
    <n v="262.23"/>
  </r>
  <r>
    <x v="1"/>
    <x v="0"/>
    <x v="0"/>
    <s v="Административная деятельность"/>
    <s v="Расходы на услуги сторонних организаций"/>
    <s v="Отдел контроля качества"/>
    <x v="0"/>
    <x v="8"/>
    <s v="Расходы на услуги сторонних организаций"/>
    <x v="32"/>
    <m/>
    <m/>
    <m/>
    <m/>
    <m/>
    <m/>
    <m/>
    <n v="731.88"/>
    <m/>
    <m/>
    <m/>
    <m/>
    <m/>
    <m/>
    <n v="731.88"/>
  </r>
  <r>
    <x v="1"/>
    <x v="0"/>
    <x v="0"/>
    <s v="Административная деятельность"/>
    <s v="Расходы на услуги сторонних организаций"/>
    <s v="Отдел персонала"/>
    <x v="0"/>
    <x v="8"/>
    <s v="Расходы на услуги сторонних организаций"/>
    <x v="27"/>
    <m/>
    <m/>
    <n v="55.5"/>
    <m/>
    <m/>
    <m/>
    <m/>
    <m/>
    <m/>
    <m/>
    <m/>
    <m/>
    <m/>
    <m/>
    <n v="55.5"/>
  </r>
  <r>
    <x v="1"/>
    <x v="0"/>
    <x v="0"/>
    <s v="Административная деятельность"/>
    <s v="Расходы на услуги сторонних организаций"/>
    <s v="Отдел персонала"/>
    <x v="0"/>
    <x v="8"/>
    <s v="Расходы на услуги сторонних организаций"/>
    <x v="47"/>
    <m/>
    <m/>
    <m/>
    <n v="2295"/>
    <m/>
    <n v="399.24"/>
    <n v="399.24"/>
    <m/>
    <m/>
    <n v="558.92999999999995"/>
    <m/>
    <n v="21837.279999999999"/>
    <n v="400"/>
    <n v="400"/>
    <n v="26289.69"/>
  </r>
  <r>
    <x v="1"/>
    <x v="0"/>
    <x v="0"/>
    <s v="Административная деятельность"/>
    <s v="Расходы на услуги сторонних организаций"/>
    <s v="Отдел персонала"/>
    <x v="0"/>
    <x v="8"/>
    <s v="Расходы на услуги сторонних организаций"/>
    <x v="112"/>
    <m/>
    <m/>
    <m/>
    <m/>
    <m/>
    <m/>
    <m/>
    <m/>
    <m/>
    <n v="225.42"/>
    <m/>
    <m/>
    <m/>
    <m/>
    <n v="225.42"/>
  </r>
  <r>
    <x v="1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27"/>
    <m/>
    <m/>
    <n v="415.17"/>
    <n v="250.71"/>
    <n v="274.04000000000002"/>
    <n v="595.24"/>
    <n v="379.84"/>
    <n v="373.86"/>
    <m/>
    <n v="301.88"/>
    <n v="399.54"/>
    <n v="353.41"/>
    <n v="300"/>
    <n v="300"/>
    <n v="3943.69"/>
  </r>
  <r>
    <x v="1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47"/>
    <m/>
    <m/>
    <m/>
    <n v="180"/>
    <m/>
    <m/>
    <n v="436.81"/>
    <m/>
    <n v="380.28"/>
    <n v="4497.21"/>
    <n v="200"/>
    <n v="3000"/>
    <n v="2000"/>
    <m/>
    <n v="10694.3"/>
  </r>
  <r>
    <x v="1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112"/>
    <m/>
    <m/>
    <m/>
    <m/>
    <m/>
    <m/>
    <m/>
    <n v="139"/>
    <n v="88"/>
    <m/>
    <m/>
    <m/>
    <m/>
    <m/>
    <n v="227"/>
  </r>
  <r>
    <x v="1"/>
    <x v="0"/>
    <x v="0"/>
    <s v="Административная деятельность"/>
    <s v="Расходы на услуги сторонних организаций"/>
    <s v="Охрана труда"/>
    <x v="0"/>
    <x v="8"/>
    <s v="Расходы на услуги сторонних организаций"/>
    <x v="32"/>
    <m/>
    <m/>
    <n v="1508.66"/>
    <n v="700"/>
    <n v="466.11"/>
    <n v="700"/>
    <n v="1441.75"/>
    <n v="497.16"/>
    <n v="491.92"/>
    <m/>
    <n v="700"/>
    <m/>
    <m/>
    <n v="9300"/>
    <n v="15805.6"/>
  </r>
  <r>
    <x v="1"/>
    <x v="0"/>
    <x v="0"/>
    <s v="Административная деятельность"/>
    <s v="Расходы на услуги сторонних организаций"/>
    <s v="Служба безопасности"/>
    <x v="0"/>
    <x v="8"/>
    <s v="Расходы на услуги сторонних организаций"/>
    <x v="27"/>
    <m/>
    <m/>
    <n v="672.44"/>
    <n v="848.81"/>
    <n v="753.69"/>
    <n v="504.83"/>
    <n v="1295.94"/>
    <n v="1075.54"/>
    <n v="1121.56"/>
    <n v="455.46"/>
    <n v="1026.57"/>
    <n v="880.6"/>
    <n v="1000"/>
    <n v="1000"/>
    <n v="10635.439999999999"/>
  </r>
  <r>
    <x v="1"/>
    <x v="0"/>
    <x v="0"/>
    <s v="Административная деятельность"/>
    <s v="Расходы на услуги сторонних организаций"/>
    <s v="Служба безопасности"/>
    <x v="0"/>
    <x v="8"/>
    <s v="Расходы на услуги сторонних организаций"/>
    <x v="47"/>
    <m/>
    <m/>
    <n v="400"/>
    <n v="400"/>
    <n v="400"/>
    <n v="400"/>
    <m/>
    <n v="800"/>
    <n v="1320"/>
    <n v="1100"/>
    <n v="1100"/>
    <n v="1100"/>
    <n v="1100"/>
    <n v="1100"/>
    <n v="9220"/>
  </r>
  <r>
    <x v="1"/>
    <x v="0"/>
    <x v="0"/>
    <s v="Административная деятельность"/>
    <s v="Расходы на услуги сторонних организаций"/>
    <s v="Служба безопасности"/>
    <x v="0"/>
    <x v="8"/>
    <s v="Расходы на услуги сторонних организаций"/>
    <x v="32"/>
    <m/>
    <m/>
    <m/>
    <m/>
    <m/>
    <m/>
    <m/>
    <n v="336"/>
    <m/>
    <m/>
    <m/>
    <m/>
    <m/>
    <m/>
    <n v="336"/>
  </r>
  <r>
    <x v="1"/>
    <x v="0"/>
    <x v="0"/>
    <s v="Административная деятельность"/>
    <s v="Расходы на услуги сторонних организаций"/>
    <s v="Трейд - маркетинг"/>
    <x v="0"/>
    <x v="8"/>
    <s v="Расходы на услуги сторонних организаций"/>
    <x v="47"/>
    <m/>
    <m/>
    <m/>
    <m/>
    <m/>
    <n v="173"/>
    <m/>
    <m/>
    <m/>
    <m/>
    <m/>
    <m/>
    <m/>
    <m/>
    <n v="173"/>
  </r>
  <r>
    <x v="1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27"/>
    <m/>
    <m/>
    <m/>
    <m/>
    <m/>
    <m/>
    <m/>
    <m/>
    <n v="700"/>
    <m/>
    <m/>
    <m/>
    <m/>
    <m/>
    <n v="700"/>
  </r>
  <r>
    <x v="1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60"/>
    <m/>
    <m/>
    <n v="6474"/>
    <n v="2120"/>
    <n v="5516"/>
    <n v="3200"/>
    <m/>
    <m/>
    <m/>
    <m/>
    <m/>
    <n v="2000"/>
    <n v="4000"/>
    <n v="4000"/>
    <n v="27310"/>
  </r>
  <r>
    <x v="1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47"/>
    <m/>
    <m/>
    <n v="5"/>
    <n v="4200"/>
    <m/>
    <m/>
    <m/>
    <m/>
    <m/>
    <m/>
    <m/>
    <n v="18500"/>
    <m/>
    <n v="268750"/>
    <n v="291455"/>
  </r>
  <r>
    <x v="1"/>
    <x v="0"/>
    <x v="0"/>
    <s v="Административная деятельность"/>
    <s v="Расходы на услуги сторонних организаций"/>
    <s v="Финансово - экономический отдел"/>
    <x v="0"/>
    <x v="8"/>
    <s v="Расходы на услуги сторонних организаций"/>
    <x v="112"/>
    <m/>
    <m/>
    <m/>
    <n v="3221.42"/>
    <m/>
    <m/>
    <m/>
    <m/>
    <m/>
    <m/>
    <m/>
    <m/>
    <m/>
    <m/>
    <n v="3221.42"/>
  </r>
  <r>
    <x v="1"/>
    <x v="0"/>
    <x v="0"/>
    <s v="Административная деятельность"/>
    <s v="Расходы на услуги сторонних организаций"/>
    <s v="Холодильное оборудование"/>
    <x v="0"/>
    <x v="8"/>
    <s v="Расходы на услуги сторонних организаций"/>
    <x v="27"/>
    <m/>
    <m/>
    <m/>
    <m/>
    <n v="80.92"/>
    <m/>
    <m/>
    <m/>
    <m/>
    <m/>
    <m/>
    <m/>
    <m/>
    <m/>
    <n v="80.92"/>
  </r>
  <r>
    <x v="1"/>
    <x v="0"/>
    <x v="0"/>
    <s v="Административная деятельность"/>
    <s v="Расходы на услуги сторонних организаций"/>
    <s v="Холодильное оборудование"/>
    <x v="0"/>
    <x v="8"/>
    <s v="Расходы на услуги сторонних организаций"/>
    <x v="47"/>
    <m/>
    <m/>
    <m/>
    <m/>
    <m/>
    <n v="13800"/>
    <m/>
    <m/>
    <m/>
    <m/>
    <m/>
    <m/>
    <m/>
    <m/>
    <n v="13800"/>
  </r>
  <r>
    <x v="1"/>
    <x v="0"/>
    <x v="0"/>
    <s v="Административная деятельность"/>
    <s v="Расходы на услуги сторонних организаций"/>
    <s v="Юридический отдел"/>
    <x v="0"/>
    <x v="8"/>
    <s v="Расходы на услуги сторонних организаций"/>
    <x v="27"/>
    <m/>
    <m/>
    <m/>
    <m/>
    <m/>
    <m/>
    <m/>
    <m/>
    <m/>
    <m/>
    <n v="48.23"/>
    <m/>
    <m/>
    <m/>
    <n v="48.23"/>
  </r>
  <r>
    <x v="1"/>
    <x v="0"/>
    <x v="0"/>
    <s v="Административная деятельность"/>
    <s v="Расходы на услуги сторонних организаций"/>
    <s v="Юридический отдел"/>
    <x v="0"/>
    <x v="8"/>
    <s v="Расходы на услуги сторонних организаций"/>
    <x v="47"/>
    <m/>
    <m/>
    <n v="2926"/>
    <n v="3915.84"/>
    <n v="2548.02"/>
    <n v="3962.72"/>
    <n v="1654.64"/>
    <n v="3268.18"/>
    <n v="943.52"/>
    <n v="892.12"/>
    <n v="9015.76"/>
    <n v="5146.46"/>
    <n v="9150"/>
    <n v="19624"/>
    <n v="63047.259999999995"/>
  </r>
  <r>
    <x v="1"/>
    <x v="0"/>
    <x v="0"/>
    <s v="Административная деятельность"/>
    <s v="Расходы на услуги сторонних организаций"/>
    <s v="Юридический отдел"/>
    <x v="0"/>
    <x v="8"/>
    <s v="Расходы на услуги сторонних организаций"/>
    <x v="64"/>
    <m/>
    <m/>
    <n v="3070"/>
    <n v="4021.4"/>
    <n v="1550"/>
    <n v="270"/>
    <n v="400"/>
    <n v="6337.06"/>
    <n v="523"/>
    <n v="4762.83"/>
    <n v="500"/>
    <m/>
    <n v="5500"/>
    <n v="5500"/>
    <n v="32434.29"/>
  </r>
  <r>
    <x v="1"/>
    <x v="0"/>
    <x v="0"/>
    <s v="Административная деятельность"/>
    <s v="Ремонт ОС"/>
    <s v="Генеральный директор"/>
    <x v="0"/>
    <x v="17"/>
    <s v="Ремонт прочих ОС"/>
    <x v="113"/>
    <m/>
    <m/>
    <m/>
    <m/>
    <m/>
    <m/>
    <n v="4752"/>
    <m/>
    <m/>
    <m/>
    <m/>
    <m/>
    <m/>
    <m/>
    <n v="4752"/>
  </r>
  <r>
    <x v="1"/>
    <x v="0"/>
    <x v="0"/>
    <s v="Административная деятельность"/>
    <s v="Ремонт ОС"/>
    <s v="Генеральный директор"/>
    <x v="0"/>
    <x v="17"/>
    <s v="Ремонт прочих ОС"/>
    <x v="65"/>
    <m/>
    <m/>
    <m/>
    <m/>
    <m/>
    <m/>
    <m/>
    <m/>
    <m/>
    <n v="800"/>
    <m/>
    <m/>
    <m/>
    <m/>
    <n v="800"/>
  </r>
  <r>
    <x v="1"/>
    <x v="0"/>
    <x v="0"/>
    <s v="Административная деятельность"/>
    <s v="Ремонт ОС"/>
    <s v="Директор"/>
    <x v="0"/>
    <x v="17"/>
    <s v="Ремонт прочих ОС"/>
    <x v="65"/>
    <m/>
    <m/>
    <m/>
    <m/>
    <m/>
    <n v="221126.28"/>
    <n v="4947"/>
    <n v="223839.91"/>
    <n v="1574"/>
    <n v="12812.26"/>
    <n v="368.5"/>
    <n v="534.61"/>
    <m/>
    <n v="200"/>
    <n v="465402.56"/>
  </r>
  <r>
    <x v="1"/>
    <x v="0"/>
    <x v="0"/>
    <s v="Административная деятельность"/>
    <s v="Ремонт ОС"/>
    <s v="ИТ отдел"/>
    <x v="0"/>
    <x v="17"/>
    <s v="Ремонт прочих ОС"/>
    <x v="65"/>
    <m/>
    <m/>
    <m/>
    <m/>
    <m/>
    <m/>
    <n v="4373.1000000000004"/>
    <n v="627"/>
    <m/>
    <m/>
    <m/>
    <m/>
    <m/>
    <m/>
    <n v="5000.1000000000004"/>
  </r>
  <r>
    <x v="1"/>
    <x v="0"/>
    <x v="0"/>
    <s v="Административная деятельность"/>
    <s v="Ремонт ОС"/>
    <s v="Служба безопасности"/>
    <x v="0"/>
    <x v="17"/>
    <s v="Ремонт прочих ОС"/>
    <x v="65"/>
    <m/>
    <m/>
    <m/>
    <m/>
    <m/>
    <m/>
    <n v="1319.47"/>
    <m/>
    <m/>
    <m/>
    <m/>
    <m/>
    <m/>
    <m/>
    <n v="1319.47"/>
  </r>
  <r>
    <x v="1"/>
    <x v="0"/>
    <x v="1"/>
    <s v="Продажи"/>
    <s v="Ремонт ОС"/>
    <s v="Холодильное оборудование"/>
    <x v="1"/>
    <x v="17"/>
    <s v="Ремонт прочих ОС"/>
    <x v="65"/>
    <m/>
    <m/>
    <m/>
    <m/>
    <m/>
    <m/>
    <m/>
    <n v="14346.18"/>
    <m/>
    <m/>
    <m/>
    <m/>
    <m/>
    <m/>
    <n v="14346.18"/>
  </r>
  <r>
    <x v="1"/>
    <x v="0"/>
    <x v="1"/>
    <s v="Продажи"/>
    <s v="Ремонт ОС"/>
    <s v="Холодильное оборудование"/>
    <x v="1"/>
    <x v="17"/>
    <s v="Ремонт торговых ОС"/>
    <x v="66"/>
    <m/>
    <m/>
    <m/>
    <m/>
    <m/>
    <m/>
    <m/>
    <m/>
    <n v="22456.080000000002"/>
    <m/>
    <m/>
    <m/>
    <m/>
    <m/>
    <n v="22456.080000000002"/>
  </r>
  <r>
    <x v="1"/>
    <x v="0"/>
    <x v="1"/>
    <s v="Продажи"/>
    <s v="Ремонт ОС"/>
    <s v="Холодильное оборудование"/>
    <x v="1"/>
    <x v="17"/>
    <s v="Ремонт прочих ОС"/>
    <x v="65"/>
    <m/>
    <m/>
    <m/>
    <m/>
    <m/>
    <m/>
    <m/>
    <m/>
    <m/>
    <n v="1035"/>
    <m/>
    <m/>
    <m/>
    <m/>
    <n v="1035"/>
  </r>
  <r>
    <x v="1"/>
    <x v="0"/>
    <x v="1"/>
    <s v="Продажи"/>
    <s v="Ремонт ОС"/>
    <s v="Холодильное оборудование"/>
    <x v="1"/>
    <x v="17"/>
    <s v="Ремонт торговых ОС"/>
    <x v="66"/>
    <m/>
    <m/>
    <n v="29890.959999999999"/>
    <n v="84934.44"/>
    <n v="3351.59"/>
    <n v="4228.99"/>
    <n v="9984"/>
    <m/>
    <m/>
    <n v="32198.38"/>
    <m/>
    <m/>
    <m/>
    <m/>
    <n v="164588.35999999999"/>
  </r>
  <r>
    <x v="1"/>
    <x v="0"/>
    <x v="0"/>
    <s v="Административная деятельность"/>
    <s v="Услуги связи"/>
    <s v="АХО"/>
    <x v="0"/>
    <x v="4"/>
    <s v="Услуги связи"/>
    <x v="13"/>
    <m/>
    <m/>
    <n v="276.87"/>
    <n v="282.45"/>
    <n v="257.08"/>
    <n v="290.39"/>
    <n v="307.14999999999998"/>
    <n v="471.9"/>
    <n v="621.75"/>
    <n v="237.56"/>
    <n v="147.57"/>
    <m/>
    <m/>
    <m/>
    <n v="2892.7200000000003"/>
  </r>
  <r>
    <x v="1"/>
    <x v="0"/>
    <x v="0"/>
    <s v="Административная деятельность"/>
    <s v="Услуги связи"/>
    <s v="Бренд - менеджер ЗПФ"/>
    <x v="0"/>
    <x v="4"/>
    <s v="Услуги связи"/>
    <x v="13"/>
    <m/>
    <m/>
    <m/>
    <n v="76.239999999999995"/>
    <n v="163.29"/>
    <n v="73.930000000000007"/>
    <n v="88.55"/>
    <n v="70.83"/>
    <n v="70.06"/>
    <n v="56.55"/>
    <n v="71.12"/>
    <n v="73.400000000000006"/>
    <n v="380"/>
    <m/>
    <n v="1123.9699999999998"/>
  </r>
  <r>
    <x v="1"/>
    <x v="0"/>
    <x v="0"/>
    <s v="Административная деятельность"/>
    <s v="Услуги связи"/>
    <s v="Бренд - менеджер Мороженое"/>
    <x v="0"/>
    <x v="4"/>
    <s v="Услуги связи"/>
    <x v="13"/>
    <m/>
    <m/>
    <n v="340.49"/>
    <n v="376.75"/>
    <n v="232.07"/>
    <n v="337.51"/>
    <n v="251.72"/>
    <n v="199.25"/>
    <n v="201.11"/>
    <n v="456.61"/>
    <n v="55.87"/>
    <n v="63.52"/>
    <n v="380"/>
    <n v="380"/>
    <n v="3274.9"/>
  </r>
  <r>
    <x v="1"/>
    <x v="0"/>
    <x v="0"/>
    <s v="Административная деятельность"/>
    <s v="Услуги связи"/>
    <s v="Бухгалтерия"/>
    <x v="0"/>
    <x v="4"/>
    <s v="Услуги связи"/>
    <x v="13"/>
    <m/>
    <m/>
    <n v="1368.99"/>
    <n v="2105.0300000000002"/>
    <n v="1655.02"/>
    <n v="1562.76"/>
    <n v="1681.73"/>
    <n v="1704.42"/>
    <n v="1226.6500000000001"/>
    <n v="904.46"/>
    <n v="1304.78"/>
    <n v="1203"/>
    <n v="715"/>
    <n v="715"/>
    <n v="16146.840000000002"/>
  </r>
  <r>
    <x v="1"/>
    <x v="0"/>
    <x v="0"/>
    <s v="Административная деятельность"/>
    <s v="Услуги связи"/>
    <s v="Генеральный директор"/>
    <x v="0"/>
    <x v="4"/>
    <s v="Услуги связи"/>
    <x v="33"/>
    <m/>
    <m/>
    <m/>
    <m/>
    <m/>
    <m/>
    <m/>
    <m/>
    <m/>
    <m/>
    <m/>
    <m/>
    <n v="220"/>
    <n v="220"/>
    <n v="440"/>
  </r>
  <r>
    <x v="1"/>
    <x v="0"/>
    <x v="0"/>
    <s v="Административная деятельность"/>
    <s v="Услуги связи"/>
    <s v="Генеральный директор"/>
    <x v="0"/>
    <x v="4"/>
    <s v="Услуги связи"/>
    <x v="13"/>
    <m/>
    <m/>
    <n v="1404.7"/>
    <n v="1340.73"/>
    <n v="1454.22"/>
    <n v="1534.95"/>
    <n v="1295.22"/>
    <n v="3035.32"/>
    <n v="1419.47"/>
    <n v="2288.7800000000002"/>
    <n v="1234.51"/>
    <n v="1517.47"/>
    <n v="1140"/>
    <n v="1140"/>
    <n v="18805.370000000003"/>
  </r>
  <r>
    <x v="1"/>
    <x v="0"/>
    <x v="0"/>
    <s v="Административная деятельность"/>
    <s v="Услуги связи"/>
    <s v="Директор"/>
    <x v="0"/>
    <x v="4"/>
    <s v="Услуги связи"/>
    <x v="33"/>
    <m/>
    <m/>
    <m/>
    <m/>
    <m/>
    <m/>
    <m/>
    <m/>
    <m/>
    <m/>
    <m/>
    <m/>
    <n v="1100"/>
    <n v="1100"/>
    <n v="2200"/>
  </r>
  <r>
    <x v="1"/>
    <x v="0"/>
    <x v="0"/>
    <s v="Административная деятельность"/>
    <s v="Услуги связи"/>
    <s v="Директор"/>
    <x v="0"/>
    <x v="4"/>
    <s v="Услуги связи"/>
    <x v="13"/>
    <m/>
    <m/>
    <n v="754.63"/>
    <n v="1937.96"/>
    <n v="2138.87"/>
    <n v="1058.57"/>
    <n v="1642.85"/>
    <n v="1031.24"/>
    <n v="2079.5"/>
    <n v="1191.67"/>
    <n v="1948.53"/>
    <n v="1173.98"/>
    <n v="700"/>
    <n v="700"/>
    <n v="16357.8"/>
  </r>
  <r>
    <x v="1"/>
    <x v="0"/>
    <x v="0"/>
    <s v="Административная деятельность"/>
    <s v="Услуги связи"/>
    <s v="Директор по маркетингу"/>
    <x v="0"/>
    <x v="4"/>
    <s v="Услуги связи"/>
    <x v="13"/>
    <m/>
    <m/>
    <m/>
    <n v="356.3"/>
    <n v="400.12"/>
    <n v="699.25"/>
    <n v="691.01"/>
    <n v="863.52"/>
    <n v="1033.1099999999999"/>
    <n v="583.6"/>
    <n v="1098.1600000000001"/>
    <n v="1030.52"/>
    <n v="821"/>
    <n v="821"/>
    <n v="8397.59"/>
  </r>
  <r>
    <x v="1"/>
    <x v="0"/>
    <x v="0"/>
    <s v="Административная деятельность"/>
    <s v="Услуги связи"/>
    <s v="Директор производства"/>
    <x v="0"/>
    <x v="4"/>
    <s v="Услуги связи"/>
    <x v="13"/>
    <m/>
    <m/>
    <m/>
    <m/>
    <m/>
    <m/>
    <m/>
    <n v="100.99"/>
    <m/>
    <m/>
    <m/>
    <m/>
    <m/>
    <m/>
    <n v="100.99"/>
  </r>
  <r>
    <x v="1"/>
    <x v="0"/>
    <x v="0"/>
    <s v="Административная деятельность"/>
    <s v="Услуги связи"/>
    <s v="ИТ отдел"/>
    <x v="0"/>
    <x v="4"/>
    <s v="Услуги связи"/>
    <x v="33"/>
    <m/>
    <m/>
    <n v="9248.2900000000009"/>
    <n v="11902.89"/>
    <n v="276.77"/>
    <n v="2234.7600000000002"/>
    <n v="3456.64"/>
    <n v="15619.68"/>
    <n v="2471.63"/>
    <n v="1334.67"/>
    <n v="3347.77"/>
    <n v="5313.44"/>
    <n v="3560"/>
    <n v="3560"/>
    <n v="62326.539999999994"/>
  </r>
  <r>
    <x v="1"/>
    <x v="0"/>
    <x v="0"/>
    <s v="Административная деятельность"/>
    <s v="Услуги связи"/>
    <s v="ИТ отдел"/>
    <x v="0"/>
    <x v="4"/>
    <s v="Услуги связи"/>
    <x v="13"/>
    <m/>
    <m/>
    <n v="9627.11"/>
    <n v="9400.57"/>
    <n v="9120.43"/>
    <n v="8791.48"/>
    <n v="12868.99"/>
    <n v="14945.69"/>
    <n v="10926.92"/>
    <n v="9328.02"/>
    <n v="10102.07"/>
    <n v="10184.26"/>
    <n v="10740"/>
    <n v="10740"/>
    <n v="126775.54"/>
  </r>
  <r>
    <x v="1"/>
    <x v="0"/>
    <x v="0"/>
    <s v="Административная деятельность"/>
    <s v="Услуги связи"/>
    <s v="ИТ отдел"/>
    <x v="0"/>
    <x v="4"/>
    <s v="Услуги связи"/>
    <x v="39"/>
    <m/>
    <m/>
    <n v="3183.53"/>
    <n v="1336.89"/>
    <n v="6846.24"/>
    <n v="2919.56"/>
    <n v="2952.53"/>
    <n v="21143.77"/>
    <n v="12291.51"/>
    <n v="12267.55"/>
    <n v="8804.01"/>
    <n v="2918.51"/>
    <n v="10000"/>
    <n v="10000"/>
    <n v="94664.099999999991"/>
  </r>
  <r>
    <x v="1"/>
    <x v="0"/>
    <x v="0"/>
    <s v="Административная деятельность"/>
    <s v="Услуги связи"/>
    <s v="Отдел закупок (Киев)"/>
    <x v="0"/>
    <x v="4"/>
    <s v="Услуги связи"/>
    <x v="13"/>
    <m/>
    <m/>
    <n v="1937.17"/>
    <n v="1972.61"/>
    <n v="1938.16"/>
    <n v="1969.72"/>
    <n v="1994.04"/>
    <n v="1980.27"/>
    <n v="1961.76"/>
    <n v="1677.14"/>
    <n v="2065.46"/>
    <n v="2070.29"/>
    <n v="2160"/>
    <n v="2160"/>
    <n v="23886.620000000003"/>
  </r>
  <r>
    <x v="1"/>
    <x v="0"/>
    <x v="0"/>
    <s v="Административная деятельность"/>
    <s v="Услуги связи"/>
    <s v="Отдел контроля качества"/>
    <x v="0"/>
    <x v="4"/>
    <s v="Услуги связи"/>
    <x v="13"/>
    <m/>
    <m/>
    <n v="540.16999999999996"/>
    <n v="1746.34"/>
    <n v="347.92"/>
    <n v="353.25"/>
    <n v="359.17"/>
    <n v="355.16"/>
    <n v="350.71"/>
    <n v="295.64999999999998"/>
    <n v="346.75"/>
    <n v="349.85"/>
    <n v="442"/>
    <n v="442"/>
    <n v="5928.97"/>
  </r>
  <r>
    <x v="1"/>
    <x v="0"/>
    <x v="0"/>
    <s v="Административная деятельность"/>
    <s v="Услуги связи"/>
    <s v="Отдел персонала"/>
    <x v="0"/>
    <x v="4"/>
    <s v="Услуги связи"/>
    <x v="13"/>
    <m/>
    <m/>
    <n v="337.6"/>
    <n v="340.36"/>
    <n v="345"/>
    <n v="366.98"/>
    <n v="339"/>
    <n v="350.59"/>
    <n v="346.82"/>
    <n v="297.29000000000002"/>
    <n v="337.11"/>
    <n v="340.13"/>
    <n v="782"/>
    <n v="782"/>
    <n v="4964.880000000001"/>
  </r>
  <r>
    <x v="1"/>
    <x v="0"/>
    <x v="0"/>
    <s v="Административная деятельность"/>
    <s v="Услуги связи"/>
    <s v="Охрана труда"/>
    <x v="0"/>
    <x v="4"/>
    <s v="Услуги связи"/>
    <x v="13"/>
    <m/>
    <m/>
    <n v="144.69"/>
    <n v="144.84"/>
    <n v="153.06"/>
    <n v="147.19"/>
    <n v="292.99"/>
    <n v="168.77"/>
    <n v="145.72999999999999"/>
    <n v="137.30000000000001"/>
    <n v="129.04"/>
    <m/>
    <n v="200"/>
    <n v="200"/>
    <n v="1863.61"/>
  </r>
  <r>
    <x v="1"/>
    <x v="0"/>
    <x v="0"/>
    <s v="Административная деятельность"/>
    <s v="Услуги связи"/>
    <s v="Служба безопасности"/>
    <x v="0"/>
    <x v="4"/>
    <s v="Услуги связи"/>
    <x v="13"/>
    <m/>
    <m/>
    <n v="1017.97"/>
    <n v="1121.33"/>
    <n v="1089.54"/>
    <n v="971.49"/>
    <n v="1553.82"/>
    <n v="1195.8599999999999"/>
    <n v="992.4"/>
    <n v="767.29"/>
    <n v="1011.04"/>
    <n v="870.57"/>
    <n v="1090"/>
    <n v="1090"/>
    <n v="12771.309999999998"/>
  </r>
  <r>
    <x v="1"/>
    <x v="0"/>
    <x v="0"/>
    <s v="Административная деятельность"/>
    <s v="Услуги связи"/>
    <s v="Служба главного энергетика"/>
    <x v="0"/>
    <x v="4"/>
    <s v="Услуги связи"/>
    <x v="13"/>
    <m/>
    <m/>
    <m/>
    <m/>
    <m/>
    <m/>
    <m/>
    <n v="170.26"/>
    <m/>
    <m/>
    <m/>
    <m/>
    <m/>
    <m/>
    <n v="170.26"/>
  </r>
  <r>
    <x v="1"/>
    <x v="0"/>
    <x v="0"/>
    <s v="Административная деятельность"/>
    <s v="Услуги связи"/>
    <s v="Трейд - маркетинг"/>
    <x v="0"/>
    <x v="4"/>
    <s v="Услуги связи"/>
    <x v="13"/>
    <m/>
    <m/>
    <m/>
    <n v="242.46"/>
    <n v="144.97"/>
    <n v="147.19"/>
    <n v="147.22999999999999"/>
    <n v="145.08000000000001"/>
    <n v="145.72999999999999"/>
    <n v="123.19"/>
    <n v="144.47999999999999"/>
    <n v="145.77000000000001"/>
    <n v="380"/>
    <n v="380"/>
    <n v="2146.1000000000004"/>
  </r>
  <r>
    <x v="1"/>
    <x v="0"/>
    <x v="0"/>
    <s v="Административная деятельность"/>
    <s v="Услуги связи"/>
    <s v="Финансово - экономический отдел"/>
    <x v="0"/>
    <x v="4"/>
    <s v="Услуги связи"/>
    <x v="33"/>
    <m/>
    <m/>
    <m/>
    <m/>
    <m/>
    <m/>
    <m/>
    <m/>
    <m/>
    <m/>
    <m/>
    <m/>
    <n v="110"/>
    <n v="110"/>
    <n v="220"/>
  </r>
  <r>
    <x v="1"/>
    <x v="0"/>
    <x v="0"/>
    <s v="Административная деятельность"/>
    <s v="Услуги связи"/>
    <s v="Финансово - экономический отдел"/>
    <x v="0"/>
    <x v="4"/>
    <s v="Услуги связи"/>
    <x v="13"/>
    <m/>
    <m/>
    <n v="572.13"/>
    <n v="422.81"/>
    <n v="392.77"/>
    <n v="739.58"/>
    <n v="502.22"/>
    <n v="484.86"/>
    <n v="454.46"/>
    <n v="411.96"/>
    <n v="442.75"/>
    <n v="1108.8800000000001"/>
    <n v="380"/>
    <n v="380"/>
    <n v="6292.420000000001"/>
  </r>
  <r>
    <x v="1"/>
    <x v="0"/>
    <x v="0"/>
    <s v="Административная деятельность"/>
    <s v="Услуги связи"/>
    <s v="Холодильное оборудование"/>
    <x v="1"/>
    <x v="4"/>
    <s v="Услуги связи"/>
    <x v="13"/>
    <m/>
    <m/>
    <m/>
    <m/>
    <m/>
    <m/>
    <m/>
    <n v="339.47"/>
    <n v="341.96"/>
    <m/>
    <m/>
    <m/>
    <m/>
    <m/>
    <n v="681.43000000000006"/>
  </r>
  <r>
    <x v="1"/>
    <x v="0"/>
    <x v="0"/>
    <s v="Административная деятельность"/>
    <s v="Услуги связи"/>
    <s v="Холодильное оборудование"/>
    <x v="0"/>
    <x v="0"/>
    <s v="Зарплата"/>
    <x v="0"/>
    <m/>
    <m/>
    <m/>
    <m/>
    <m/>
    <m/>
    <m/>
    <m/>
    <m/>
    <n v="9916"/>
    <m/>
    <m/>
    <m/>
    <m/>
    <n v="9916"/>
  </r>
  <r>
    <x v="1"/>
    <x v="0"/>
    <x v="0"/>
    <s v="Административная деятельность"/>
    <s v="Услуги связи"/>
    <s v="Холодильное оборудование"/>
    <x v="0"/>
    <x v="4"/>
    <s v="Услуги связи"/>
    <x v="13"/>
    <m/>
    <m/>
    <n v="344.35"/>
    <n v="337.96"/>
    <n v="339.22"/>
    <n v="343.43"/>
    <n v="339"/>
    <m/>
    <m/>
    <n v="287.43"/>
    <n v="339.99"/>
    <m/>
    <m/>
    <m/>
    <n v="2331.38"/>
  </r>
  <r>
    <x v="1"/>
    <x v="0"/>
    <x v="0"/>
    <s v="Административная деятельность"/>
    <s v="Услуги связи"/>
    <s v="Юридический отдел"/>
    <x v="0"/>
    <x v="4"/>
    <s v="Услуги связи"/>
    <x v="13"/>
    <m/>
    <m/>
    <n v="538.71"/>
    <n v="1215.6099999999999"/>
    <n v="392.38"/>
    <n v="398.39"/>
    <n v="425.69"/>
    <n v="476.33"/>
    <n v="396.37"/>
    <n v="335.07"/>
    <n v="415.61"/>
    <n v="408.64"/>
    <n v="461"/>
    <n v="461"/>
    <n v="5924.7999999999993"/>
  </r>
  <r>
    <x v="1"/>
    <x v="0"/>
    <x v="0"/>
    <s v="Амортизация"/>
    <s v="Амортизация"/>
    <s v="Бухгалтерия"/>
    <x v="0"/>
    <x v="5"/>
    <s v="Амортизация"/>
    <x v="16"/>
    <m/>
    <m/>
    <n v="1481918.18"/>
    <n v="1509088.97"/>
    <n v="1568080.98"/>
    <n v="1605050.39"/>
    <n v="1621676.9"/>
    <n v="1661815.54"/>
    <n v="1730325.35"/>
    <n v="1774609.1"/>
    <n v="1803803.34"/>
    <n v="1802336.22"/>
    <n v="1800000"/>
    <n v="1800000"/>
    <n v="20158704.969999999"/>
  </r>
  <r>
    <x v="1"/>
    <x v="0"/>
    <x v="0"/>
    <s v="Логистическая деятельность"/>
    <s v="Услуги связи"/>
    <s v="ИТ отдел"/>
    <x v="0"/>
    <x v="4"/>
    <s v="Услуги связи"/>
    <x v="13"/>
    <m/>
    <m/>
    <m/>
    <m/>
    <m/>
    <m/>
    <m/>
    <m/>
    <m/>
    <m/>
    <n v="74.56"/>
    <m/>
    <m/>
    <m/>
    <n v="74.56"/>
  </r>
  <r>
    <x v="1"/>
    <x v="0"/>
    <x v="0"/>
    <s v="Продажи"/>
    <s v="Расходы на налоги"/>
    <s v="Трейд - маркетинг"/>
    <x v="0"/>
    <x v="3"/>
    <s v="Расходы на налоги"/>
    <x v="12"/>
    <m/>
    <m/>
    <m/>
    <m/>
    <m/>
    <n v="576.2026692463445"/>
    <m/>
    <m/>
    <m/>
    <m/>
    <m/>
    <m/>
    <m/>
    <m/>
    <n v="576.2026692463445"/>
  </r>
  <r>
    <x v="1"/>
    <x v="0"/>
    <x v="0"/>
    <s v="Продажи"/>
    <s v="Расходы на налоги"/>
    <s v="Холодильное оборудование"/>
    <x v="1"/>
    <x v="3"/>
    <s v="Расходы на налоги"/>
    <x v="12"/>
    <m/>
    <m/>
    <m/>
    <m/>
    <m/>
    <n v="720.25048773626906"/>
    <m/>
    <m/>
    <m/>
    <m/>
    <m/>
    <m/>
    <m/>
    <m/>
    <n v="720.25048773626906"/>
  </r>
  <r>
    <x v="1"/>
    <x v="0"/>
    <x v="0"/>
    <s v="Продажи"/>
    <s v="Услуги связи"/>
    <s v="ИТ отдел"/>
    <x v="0"/>
    <x v="4"/>
    <s v="Услуги связи"/>
    <x v="13"/>
    <m/>
    <m/>
    <m/>
    <m/>
    <m/>
    <m/>
    <m/>
    <m/>
    <m/>
    <m/>
    <n v="9840.34"/>
    <m/>
    <m/>
    <m/>
    <n v="9840.34"/>
  </r>
  <r>
    <x v="1"/>
    <x v="0"/>
    <x v="0"/>
    <s v="Производственная деятельность"/>
    <s v="Расходы на налоги"/>
    <s v="Холодильное оборудование"/>
    <x v="0"/>
    <x v="3"/>
    <s v="Расходы на налоги"/>
    <x v="12"/>
    <m/>
    <m/>
    <m/>
    <m/>
    <m/>
    <m/>
    <m/>
    <m/>
    <m/>
    <m/>
    <n v="552.31857614527075"/>
    <m/>
    <m/>
    <m/>
    <n v="552.31857614527075"/>
  </r>
  <r>
    <x v="1"/>
    <x v="0"/>
    <x v="0"/>
    <s v="Расходы на маркетинг"/>
    <s v="Маркетинговые исследования"/>
    <s v="Бренд - менеджер ЗПФ"/>
    <x v="0"/>
    <x v="2"/>
    <s v="Маркетинговые исследования"/>
    <x v="3"/>
    <m/>
    <m/>
    <n v="3000"/>
    <m/>
    <m/>
    <m/>
    <m/>
    <m/>
    <m/>
    <m/>
    <m/>
    <m/>
    <m/>
    <n v="1500"/>
    <n v="4500"/>
  </r>
  <r>
    <x v="1"/>
    <x v="0"/>
    <x v="0"/>
    <s v="Расходы на маркетинг"/>
    <s v="Маркетинговые исследования"/>
    <s v="Бренд - менеджер Мороженое"/>
    <x v="0"/>
    <x v="2"/>
    <s v="Маркетинговые исследования"/>
    <x v="3"/>
    <m/>
    <m/>
    <n v="3000"/>
    <m/>
    <m/>
    <m/>
    <m/>
    <m/>
    <m/>
    <m/>
    <m/>
    <m/>
    <m/>
    <n v="1500"/>
    <n v="4500"/>
  </r>
  <r>
    <x v="1"/>
    <x v="0"/>
    <x v="0"/>
    <s v="Расходы на маркетинг"/>
    <s v="Маркетинговые исследования"/>
    <s v="Директор"/>
    <x v="0"/>
    <x v="2"/>
    <s v="Маркетинговые исследования"/>
    <x v="3"/>
    <m/>
    <m/>
    <m/>
    <m/>
    <m/>
    <m/>
    <m/>
    <m/>
    <n v="6000"/>
    <m/>
    <m/>
    <m/>
    <m/>
    <m/>
    <n v="6000"/>
  </r>
  <r>
    <x v="1"/>
    <x v="0"/>
    <x v="0"/>
    <s v="Расходы на маркетинг"/>
    <s v="Маркетинговые исследования"/>
    <s v="Директор по маркетингу"/>
    <x v="0"/>
    <x v="2"/>
    <s v="Маркетинговые исследования"/>
    <x v="14"/>
    <m/>
    <m/>
    <m/>
    <m/>
    <m/>
    <n v="88131.6"/>
    <n v="86280"/>
    <n v="14400"/>
    <m/>
    <n v="6771.6"/>
    <m/>
    <m/>
    <m/>
    <m/>
    <n v="195583.2"/>
  </r>
  <r>
    <x v="1"/>
    <x v="0"/>
    <x v="0"/>
    <s v="Расходы на маркетинг"/>
    <s v="Маркетинговые исследования"/>
    <s v="Директор по маркетингу"/>
    <x v="0"/>
    <x v="2"/>
    <s v="Маркетинговые исследования"/>
    <x v="3"/>
    <m/>
    <m/>
    <m/>
    <m/>
    <m/>
    <n v="7000"/>
    <n v="21000"/>
    <m/>
    <m/>
    <m/>
    <m/>
    <m/>
    <m/>
    <m/>
    <n v="28000"/>
  </r>
  <r>
    <x v="1"/>
    <x v="0"/>
    <x v="0"/>
    <s v="Расходы на маркетинг"/>
    <s v="Расходы на рекламу и PR"/>
    <s v="Директор по маркетингу"/>
    <x v="0"/>
    <x v="2"/>
    <s v="Расходы на рекламу и PR"/>
    <x v="4"/>
    <m/>
    <m/>
    <n v="77191.92"/>
    <n v="1290"/>
    <n v="26.93"/>
    <n v="100"/>
    <n v="53188.62"/>
    <n v="4895.42"/>
    <n v="2132.0300000000002"/>
    <n v="2080.59"/>
    <n v="1365.15"/>
    <n v="10815.82"/>
    <n v="7000"/>
    <n v="7000"/>
    <n v="167086.48000000001"/>
  </r>
  <r>
    <x v="1"/>
    <x v="0"/>
    <x v="0"/>
    <s v="Расходы на маркетинг"/>
    <s v="Расходы на рекламу и PR"/>
    <s v="Директор по маркетингу"/>
    <x v="0"/>
    <x v="2"/>
    <s v="Расходы на рекламу и PR"/>
    <x v="6"/>
    <m/>
    <m/>
    <m/>
    <m/>
    <m/>
    <n v="430"/>
    <m/>
    <m/>
    <m/>
    <n v="430"/>
    <m/>
    <n v="430"/>
    <n v="2000"/>
    <n v="2000"/>
    <n v="5290"/>
  </r>
  <r>
    <x v="1"/>
    <x v="0"/>
    <x v="0"/>
    <s v="Расходы на маркетинг"/>
    <s v="Расходы на рекламу и PR"/>
    <s v="Директор по маркетингу"/>
    <x v="0"/>
    <x v="2"/>
    <s v="Расходы на рекламу и PR"/>
    <x v="7"/>
    <m/>
    <m/>
    <m/>
    <n v="7000"/>
    <m/>
    <m/>
    <m/>
    <m/>
    <m/>
    <m/>
    <m/>
    <m/>
    <m/>
    <m/>
    <n v="7000"/>
  </r>
  <r>
    <x v="1"/>
    <x v="0"/>
    <x v="0"/>
    <s v="Расходы на маркетинг"/>
    <s v="Расходы на рекламу и PR"/>
    <s v="Директор по маркетингу"/>
    <x v="0"/>
    <x v="2"/>
    <s v="Расходы на рекламу и PR"/>
    <x v="9"/>
    <m/>
    <m/>
    <n v="1033368.41"/>
    <m/>
    <m/>
    <m/>
    <n v="973.79"/>
    <m/>
    <m/>
    <n v="12077.53"/>
    <m/>
    <m/>
    <m/>
    <n v="80000"/>
    <n v="1126419.73"/>
  </r>
  <r>
    <x v="1"/>
    <x v="0"/>
    <x v="0"/>
    <s v="Расходы на маркетинг"/>
    <s v="Расходы на рекламу и PR"/>
    <s v="Директор по маркетингу"/>
    <x v="0"/>
    <x v="2"/>
    <s v="Расходы на рекламу и PR"/>
    <x v="114"/>
    <m/>
    <m/>
    <m/>
    <n v="730361.05"/>
    <n v="507372.72"/>
    <n v="11368.96"/>
    <n v="1112675.6000000001"/>
    <n v="373170.73"/>
    <n v="2090646.9"/>
    <m/>
    <m/>
    <m/>
    <m/>
    <m/>
    <n v="4825595.96"/>
  </r>
  <r>
    <x v="1"/>
    <x v="0"/>
    <x v="0"/>
    <s v="Расходы на маркетинг"/>
    <s v="Расходы на создание новых продуктов"/>
    <s v="Бренд - менеджер ЗПФ"/>
    <x v="0"/>
    <x v="2"/>
    <s v="Расходы на создание новых продуктов"/>
    <x v="10"/>
    <m/>
    <m/>
    <n v="1781.85"/>
    <n v="158.19999999999999"/>
    <n v="59.59"/>
    <n v="52.03"/>
    <n v="397.09"/>
    <m/>
    <n v="275.54000000000002"/>
    <n v="1278.98"/>
    <n v="22.09"/>
    <n v="305.48"/>
    <n v="1000"/>
    <m/>
    <n v="5330.85"/>
  </r>
  <r>
    <x v="1"/>
    <x v="0"/>
    <x v="0"/>
    <s v="Расходы на маркетинг"/>
    <s v="Расходы на создание новых продуктов"/>
    <s v="Бренд - менеджер ЗПФ"/>
    <x v="0"/>
    <x v="2"/>
    <s v="Расходы на создание новых продуктов"/>
    <x v="11"/>
    <m/>
    <m/>
    <n v="1700"/>
    <n v="6602"/>
    <n v="1300"/>
    <n v="5400"/>
    <m/>
    <m/>
    <m/>
    <n v="900"/>
    <m/>
    <n v="77758.14"/>
    <n v="87000"/>
    <n v="18000"/>
    <n v="198660.14"/>
  </r>
  <r>
    <x v="1"/>
    <x v="0"/>
    <x v="0"/>
    <s v="Расходы на маркетинг"/>
    <s v="Расходы на создание новых продуктов"/>
    <s v="Бренд - менеджер Мороженое"/>
    <x v="0"/>
    <x v="2"/>
    <s v="Расходы на создание новых продуктов"/>
    <x v="10"/>
    <m/>
    <m/>
    <n v="29.77"/>
    <n v="400.15"/>
    <n v="1786.23"/>
    <n v="928.22"/>
    <n v="28.27"/>
    <n v="246.46"/>
    <m/>
    <n v="479.35"/>
    <n v="114.82"/>
    <m/>
    <n v="600"/>
    <n v="600"/>
    <n v="5213.2700000000004"/>
  </r>
  <r>
    <x v="1"/>
    <x v="0"/>
    <x v="0"/>
    <s v="Расходы на маркетинг"/>
    <s v="Расходы на создание новых продуктов"/>
    <s v="Бренд - менеджер Мороженое"/>
    <x v="0"/>
    <x v="2"/>
    <s v="Расходы на создание новых продуктов"/>
    <x v="11"/>
    <m/>
    <m/>
    <n v="29877"/>
    <n v="56675"/>
    <n v="48370"/>
    <n v="3500"/>
    <n v="3400"/>
    <n v="2100"/>
    <m/>
    <m/>
    <m/>
    <m/>
    <n v="50000"/>
    <m/>
    <n v="193922"/>
  </r>
  <r>
    <x v="1"/>
    <x v="0"/>
    <x v="0"/>
    <s v="Расходы на маркетинг"/>
    <s v="Расходы на создание новых продуктов"/>
    <s v="Директор"/>
    <x v="0"/>
    <x v="2"/>
    <s v="Расходы на создание новых продуктов"/>
    <x v="10"/>
    <m/>
    <m/>
    <m/>
    <m/>
    <n v="40.65"/>
    <m/>
    <m/>
    <m/>
    <m/>
    <m/>
    <m/>
    <m/>
    <m/>
    <m/>
    <n v="40.65"/>
  </r>
  <r>
    <x v="1"/>
    <x v="0"/>
    <x v="0"/>
    <s v="Расходы на маркетинг"/>
    <s v="Расходы на создание новых продуктов"/>
    <s v="Директор по маркетингу"/>
    <x v="0"/>
    <x v="2"/>
    <s v="Расходы на создание новых продуктов"/>
    <x v="10"/>
    <m/>
    <m/>
    <m/>
    <m/>
    <m/>
    <m/>
    <n v="37.299999999999997"/>
    <m/>
    <n v="363.55"/>
    <m/>
    <m/>
    <m/>
    <m/>
    <m/>
    <n v="400.85"/>
  </r>
  <r>
    <x v="1"/>
    <x v="0"/>
    <x v="0"/>
    <s v="Расходы на маркетинг"/>
    <s v="Расходы на создание новых продуктов"/>
    <s v="Директор по маркетингу"/>
    <x v="0"/>
    <x v="2"/>
    <s v="Расходы на создание новых продуктов"/>
    <x v="11"/>
    <m/>
    <m/>
    <m/>
    <n v="510"/>
    <m/>
    <m/>
    <m/>
    <m/>
    <m/>
    <m/>
    <m/>
    <m/>
    <m/>
    <m/>
    <n v="510"/>
  </r>
  <r>
    <x v="1"/>
    <x v="0"/>
    <x v="0"/>
    <s v="Расходы на маркетинг"/>
    <s v="Расходы на создание новых продуктов"/>
    <s v="Отдел закупок (Киев)"/>
    <x v="0"/>
    <x v="2"/>
    <s v="Расходы на создание новых продуктов"/>
    <x v="40"/>
    <m/>
    <m/>
    <m/>
    <n v="55658"/>
    <n v="76078.679999999993"/>
    <n v="9048"/>
    <n v="41719.599999999999"/>
    <n v="3380"/>
    <n v="20312"/>
    <m/>
    <m/>
    <m/>
    <n v="300000"/>
    <n v="180000"/>
    <n v="686196.28"/>
  </r>
  <r>
    <x v="1"/>
    <x v="0"/>
    <x v="0"/>
    <s v="Расходы на маркетинг"/>
    <s v="Расходы на создание новых продуктов"/>
    <s v="Отдел контроля качества"/>
    <x v="0"/>
    <x v="2"/>
    <s v="Расходы на создание новых продуктов"/>
    <x v="10"/>
    <m/>
    <m/>
    <n v="3719.45"/>
    <n v="566.58000000000004"/>
    <n v="217.99"/>
    <n v="595.83000000000004"/>
    <n v="28.27"/>
    <n v="168.14"/>
    <n v="787.6"/>
    <n v="648.61"/>
    <n v="250.03"/>
    <n v="50.07"/>
    <n v="1000"/>
    <n v="1000"/>
    <n v="9032.57"/>
  </r>
  <r>
    <x v="1"/>
    <x v="0"/>
    <x v="0"/>
    <s v="Расходы на маркетинг"/>
    <s v="Расходы на создание новых продуктов"/>
    <s v="Отдел контроля качества"/>
    <x v="0"/>
    <x v="2"/>
    <s v="Расходы на создание новых продуктов"/>
    <x v="43"/>
    <m/>
    <m/>
    <n v="221.76"/>
    <n v="4620"/>
    <n v="3080"/>
    <n v="1540"/>
    <m/>
    <m/>
    <n v="1754"/>
    <n v="2960"/>
    <n v="1540"/>
    <n v="308"/>
    <n v="3300"/>
    <n v="3500"/>
    <n v="22823.760000000002"/>
  </r>
  <r>
    <x v="1"/>
    <x v="0"/>
    <x v="0"/>
    <s v="Расходы на маркетинг"/>
    <s v="Расходы на создание новых продуктов"/>
    <s v="Трейд - маркетинг"/>
    <x v="0"/>
    <x v="2"/>
    <s v="Расходы на создание новых продуктов"/>
    <x v="10"/>
    <m/>
    <m/>
    <m/>
    <n v="2626.13"/>
    <n v="3634.18"/>
    <m/>
    <n v="31.97"/>
    <m/>
    <m/>
    <m/>
    <m/>
    <m/>
    <m/>
    <m/>
    <n v="6292.28"/>
  </r>
  <r>
    <x v="1"/>
    <x v="0"/>
    <x v="0"/>
    <s v="Расходы на налоги"/>
    <s v="Расходы на налоги"/>
    <s v="Бухгалтерия"/>
    <x v="0"/>
    <x v="3"/>
    <s v="Расходы на налоги"/>
    <x v="18"/>
    <m/>
    <m/>
    <m/>
    <n v="597.67999999999995"/>
    <m/>
    <m/>
    <m/>
    <m/>
    <m/>
    <n v="1000"/>
    <m/>
    <m/>
    <n v="900"/>
    <n v="900"/>
    <n v="3397.68"/>
  </r>
  <r>
    <x v="1"/>
    <x v="0"/>
    <x v="0"/>
    <s v="Расходы на налоги"/>
    <s v="Расходы на налоги"/>
    <s v="Бухгалтерия"/>
    <x v="0"/>
    <x v="3"/>
    <s v="Расходы на налоги"/>
    <x v="19"/>
    <m/>
    <m/>
    <m/>
    <n v="3204.1"/>
    <m/>
    <m/>
    <m/>
    <m/>
    <m/>
    <n v="5801.2"/>
    <m/>
    <m/>
    <n v="6000"/>
    <n v="6000"/>
    <n v="21005.3"/>
  </r>
  <r>
    <x v="1"/>
    <x v="0"/>
    <x v="0"/>
    <s v="Расходы на налоги"/>
    <s v="Расходы на налоги"/>
    <s v="Бухгалтерия"/>
    <x v="0"/>
    <x v="3"/>
    <s v="Расходы на налоги"/>
    <x v="20"/>
    <m/>
    <m/>
    <m/>
    <n v="2050.84"/>
    <n v="1264.82"/>
    <m/>
    <m/>
    <m/>
    <m/>
    <m/>
    <m/>
    <m/>
    <n v="2569"/>
    <n v="2569"/>
    <n v="8453.66"/>
  </r>
  <r>
    <x v="1"/>
    <x v="0"/>
    <x v="0"/>
    <s v="Расходы на налоги"/>
    <s v="Расходы на налоги"/>
    <s v="Бухгалтерия"/>
    <x v="0"/>
    <x v="3"/>
    <s v="Расходы на налоги"/>
    <x v="21"/>
    <m/>
    <m/>
    <n v="23284.27"/>
    <m/>
    <n v="23284.27"/>
    <n v="23284.27"/>
    <m/>
    <n v="23284.27"/>
    <n v="36328.01"/>
    <n v="31207.58"/>
    <n v="33207.58"/>
    <n v="33207.58"/>
    <n v="35000"/>
    <n v="35000"/>
    <n v="297087.83"/>
  </r>
  <r>
    <x v="1"/>
    <x v="0"/>
    <x v="0"/>
    <s v="Расходы на налоги"/>
    <s v="Расходы на налоги"/>
    <s v="Бухгалтерия"/>
    <x v="0"/>
    <x v="3"/>
    <s v="Расходы на налоги"/>
    <x v="22"/>
    <m/>
    <m/>
    <n v="59553"/>
    <n v="185184"/>
    <n v="53796"/>
    <n v="53796"/>
    <m/>
    <n v="58796"/>
    <n v="53796"/>
    <n v="55796"/>
    <n v="57081"/>
    <n v="58796"/>
    <n v="55000"/>
    <n v="55000"/>
    <n v="746594"/>
  </r>
  <r>
    <x v="1"/>
    <x v="0"/>
    <x v="0"/>
    <s v="Расходы на налоги"/>
    <s v="Расходы на налоги"/>
    <s v="Бухгалтерия"/>
    <x v="0"/>
    <x v="3"/>
    <s v="Расходы на налоги"/>
    <x v="115"/>
    <m/>
    <m/>
    <m/>
    <m/>
    <m/>
    <m/>
    <m/>
    <n v="1514.76"/>
    <n v="131.36000000000001"/>
    <m/>
    <m/>
    <m/>
    <m/>
    <m/>
    <n v="1646.12"/>
  </r>
  <r>
    <x v="1"/>
    <x v="0"/>
    <x v="0"/>
    <s v="Расходы на налоги"/>
    <s v="Расходы на налоги"/>
    <s v="Бухгалтерия"/>
    <x v="0"/>
    <x v="3"/>
    <s v="Расходы на налоги"/>
    <x v="23"/>
    <m/>
    <m/>
    <n v="88845"/>
    <n v="32000"/>
    <n v="8000"/>
    <n v="38300"/>
    <m/>
    <n v="88074"/>
    <n v="89000"/>
    <n v="38200"/>
    <n v="27600"/>
    <n v="38350"/>
    <n v="50000"/>
    <n v="50000"/>
    <n v="548369"/>
  </r>
  <r>
    <x v="1"/>
    <x v="0"/>
    <x v="0"/>
    <s v="Расходы на налоги"/>
    <s v="Расходы на налоги"/>
    <s v="Бухгалтерия"/>
    <x v="0"/>
    <x v="3"/>
    <s v="Расходы на налоги"/>
    <x v="116"/>
    <m/>
    <m/>
    <m/>
    <n v="1108.1300000000001"/>
    <m/>
    <m/>
    <m/>
    <m/>
    <m/>
    <n v="30181.14"/>
    <n v="2000"/>
    <n v="126.13"/>
    <m/>
    <m/>
    <n v="33415.4"/>
  </r>
  <r>
    <x v="1"/>
    <x v="0"/>
    <x v="0"/>
    <s v="Расходы на налоги"/>
    <s v="Расходы на налоги"/>
    <s v="Бухгалтерия"/>
    <x v="0"/>
    <x v="3"/>
    <s v="Расходы на налоги"/>
    <x v="24"/>
    <m/>
    <m/>
    <m/>
    <m/>
    <m/>
    <m/>
    <m/>
    <m/>
    <m/>
    <m/>
    <m/>
    <m/>
    <n v="600"/>
    <n v="600"/>
    <n v="1200"/>
  </r>
  <r>
    <x v="1"/>
    <x v="0"/>
    <x v="0"/>
    <s v="Расходы на налоги"/>
    <s v="Расходы на налоги"/>
    <s v="Генеральный директор"/>
    <x v="0"/>
    <x v="3"/>
    <s v="Расходы на налоги"/>
    <x v="59"/>
    <m/>
    <m/>
    <m/>
    <m/>
    <m/>
    <m/>
    <m/>
    <m/>
    <n v="16000"/>
    <n v="2490"/>
    <m/>
    <n v="1506"/>
    <m/>
    <m/>
    <n v="19996"/>
  </r>
  <r>
    <x v="1"/>
    <x v="0"/>
    <x v="0"/>
    <s v="Расходы на налоги"/>
    <s v="Расходы на налоги"/>
    <s v="Директор"/>
    <x v="0"/>
    <x v="3"/>
    <s v="Расходы на налоги"/>
    <x v="59"/>
    <m/>
    <m/>
    <m/>
    <m/>
    <m/>
    <m/>
    <m/>
    <m/>
    <m/>
    <m/>
    <n v="7675"/>
    <m/>
    <m/>
    <m/>
    <n v="7675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18"/>
    <m/>
    <m/>
    <m/>
    <m/>
    <m/>
    <m/>
    <n v="633.57000000000005"/>
    <m/>
    <m/>
    <m/>
    <m/>
    <m/>
    <m/>
    <m/>
    <n v="633.57000000000005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19"/>
    <m/>
    <m/>
    <m/>
    <m/>
    <m/>
    <m/>
    <n v="4106.5"/>
    <m/>
    <m/>
    <m/>
    <m/>
    <m/>
    <m/>
    <m/>
    <n v="4106.5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21"/>
    <m/>
    <m/>
    <m/>
    <m/>
    <m/>
    <m/>
    <n v="23284.27"/>
    <m/>
    <m/>
    <m/>
    <m/>
    <m/>
    <m/>
    <m/>
    <n v="23284.27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22"/>
    <m/>
    <m/>
    <m/>
    <m/>
    <m/>
    <m/>
    <n v="53796"/>
    <m/>
    <m/>
    <m/>
    <m/>
    <m/>
    <m/>
    <m/>
    <n v="53796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23"/>
    <m/>
    <m/>
    <m/>
    <m/>
    <m/>
    <m/>
    <n v="53500"/>
    <m/>
    <m/>
    <m/>
    <m/>
    <m/>
    <m/>
    <m/>
    <n v="53500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59"/>
    <m/>
    <m/>
    <m/>
    <m/>
    <m/>
    <m/>
    <n v="64575.519999999997"/>
    <m/>
    <m/>
    <m/>
    <m/>
    <m/>
    <m/>
    <m/>
    <n v="64575.519999999997"/>
  </r>
  <r>
    <x v="1"/>
    <x v="0"/>
    <x v="0"/>
    <s v="Расходы на налоги"/>
    <s v="Расходы на налоги"/>
    <s v="Расходы на налоги"/>
    <x v="0"/>
    <x v="3"/>
    <s v="Расходы на налоги"/>
    <x v="116"/>
    <m/>
    <m/>
    <m/>
    <m/>
    <m/>
    <m/>
    <n v="435.45"/>
    <m/>
    <m/>
    <m/>
    <m/>
    <m/>
    <m/>
    <m/>
    <n v="435.45"/>
  </r>
  <r>
    <x v="1"/>
    <x v="0"/>
    <x v="0"/>
    <s v="Расходы на налоги"/>
    <s v="Расходы на налоги"/>
    <s v="Служба безопасности"/>
    <x v="0"/>
    <x v="3"/>
    <s v="Расходы на налоги"/>
    <x v="59"/>
    <m/>
    <m/>
    <m/>
    <m/>
    <m/>
    <m/>
    <m/>
    <m/>
    <m/>
    <n v="8925"/>
    <m/>
    <m/>
    <m/>
    <m/>
    <n v="8925"/>
  </r>
  <r>
    <x v="1"/>
    <x v="0"/>
    <x v="0"/>
    <s v="Расходы на налоги"/>
    <s v="Расходы на налоги"/>
    <s v="Финансово - экономический отдел"/>
    <x v="0"/>
    <x v="3"/>
    <s v="Расходы на налоги"/>
    <x v="59"/>
    <m/>
    <m/>
    <n v="42652.34"/>
    <n v="7511.41"/>
    <n v="54236.73"/>
    <n v="213372.91999999998"/>
    <m/>
    <n v="4840"/>
    <n v="206713.81"/>
    <n v="30432"/>
    <n v="53223"/>
    <n v="75953"/>
    <n v="50000"/>
    <n v="50000"/>
    <n v="788935.21"/>
  </r>
  <r>
    <x v="1"/>
    <x v="0"/>
    <x v="0"/>
    <s v="Расходы на налоги"/>
    <s v="Расходы на налоги"/>
    <s v="Юридический отдел"/>
    <x v="0"/>
    <x v="3"/>
    <s v="Расходы на налоги"/>
    <x v="59"/>
    <m/>
    <m/>
    <m/>
    <m/>
    <m/>
    <m/>
    <m/>
    <m/>
    <m/>
    <m/>
    <n v="2300"/>
    <m/>
    <m/>
    <m/>
    <n v="2300"/>
  </r>
  <r>
    <x v="1"/>
    <x v="0"/>
    <x v="0"/>
    <s v="Расходы на трейд-маркетинг"/>
    <s v="Оплата за размещение в тт"/>
    <s v="Директор"/>
    <x v="0"/>
    <x v="14"/>
    <s v="Оплата за размещение в тт"/>
    <x v="81"/>
    <m/>
    <m/>
    <m/>
    <m/>
    <m/>
    <n v="6116.21"/>
    <m/>
    <m/>
    <m/>
    <m/>
    <m/>
    <m/>
    <m/>
    <m/>
    <n v="6116.21"/>
  </r>
  <r>
    <x v="1"/>
    <x v="0"/>
    <x v="0"/>
    <s v="Расходы на трейд-маркетинг"/>
    <s v="Оплата за размещение в тт"/>
    <s v="Трейд - маркетинг"/>
    <x v="0"/>
    <x v="14"/>
    <s v="Оплата за размещение в тт"/>
    <x v="81"/>
    <m/>
    <m/>
    <m/>
    <m/>
    <m/>
    <m/>
    <m/>
    <m/>
    <n v="191.27"/>
    <n v="193.01"/>
    <m/>
    <m/>
    <m/>
    <m/>
    <n v="384.28"/>
  </r>
  <r>
    <x v="1"/>
    <x v="0"/>
    <x v="0"/>
    <s v="Расходы на трейд-маркетинг"/>
    <s v="Трейд-маркетинг"/>
    <s v="Бренд - менеджер ЗПФ"/>
    <x v="0"/>
    <x v="14"/>
    <s v="Трейд-маркетинг"/>
    <x v="49"/>
    <m/>
    <m/>
    <m/>
    <m/>
    <m/>
    <n v="500"/>
    <m/>
    <m/>
    <m/>
    <m/>
    <m/>
    <m/>
    <m/>
    <m/>
    <n v="500"/>
  </r>
  <r>
    <x v="1"/>
    <x v="0"/>
    <x v="0"/>
    <s v="Расходы на трейд-маркетинг"/>
    <s v="Трейд-маркетинг"/>
    <s v="Бренд - менеджер Мороженое"/>
    <x v="0"/>
    <x v="14"/>
    <s v="Трейд-маркетинг"/>
    <x v="49"/>
    <m/>
    <m/>
    <n v="250"/>
    <m/>
    <m/>
    <m/>
    <m/>
    <m/>
    <m/>
    <m/>
    <m/>
    <m/>
    <m/>
    <m/>
    <n v="250"/>
  </r>
  <r>
    <x v="1"/>
    <x v="0"/>
    <x v="0"/>
    <s v="Расходы на трейд-маркетинг"/>
    <s v="Трейд-маркетинг"/>
    <s v="Бренд - менеджер Мороженое"/>
    <x v="0"/>
    <x v="14"/>
    <s v="Трейд-маркетинг"/>
    <x v="54"/>
    <m/>
    <m/>
    <m/>
    <m/>
    <m/>
    <m/>
    <n v="61.89"/>
    <m/>
    <n v="5178.2"/>
    <m/>
    <m/>
    <m/>
    <m/>
    <m/>
    <n v="5240.09"/>
  </r>
  <r>
    <x v="1"/>
    <x v="0"/>
    <x v="0"/>
    <s v="Расходы на трейд-маркетинг"/>
    <s v="Трейд-маркетинг"/>
    <s v="Директор"/>
    <x v="0"/>
    <x v="14"/>
    <s v="Трейд-маркетинг"/>
    <x v="54"/>
    <m/>
    <m/>
    <m/>
    <n v="2975.68"/>
    <m/>
    <m/>
    <m/>
    <m/>
    <m/>
    <m/>
    <m/>
    <m/>
    <m/>
    <m/>
    <n v="2975.68"/>
  </r>
  <r>
    <x v="1"/>
    <x v="0"/>
    <x v="0"/>
    <s v="Расходы на трейд-маркетинг"/>
    <s v="Трейд-маркетинг"/>
    <s v="Директор"/>
    <x v="0"/>
    <x v="14"/>
    <s v="Трейд-маркетинг"/>
    <x v="55"/>
    <m/>
    <m/>
    <m/>
    <m/>
    <m/>
    <m/>
    <m/>
    <n v="4811.6400000000003"/>
    <m/>
    <m/>
    <m/>
    <m/>
    <m/>
    <m/>
    <n v="4811.6400000000003"/>
  </r>
  <r>
    <x v="1"/>
    <x v="0"/>
    <x v="0"/>
    <s v="Расходы на трейд-маркетинг"/>
    <s v="Трейд-маркетинг"/>
    <s v="Директор"/>
    <x v="0"/>
    <x v="14"/>
    <s v="Трейд-маркетинг"/>
    <x v="88"/>
    <m/>
    <m/>
    <m/>
    <m/>
    <m/>
    <m/>
    <m/>
    <m/>
    <m/>
    <m/>
    <m/>
    <n v="34.97"/>
    <m/>
    <m/>
    <n v="34.97"/>
  </r>
  <r>
    <x v="1"/>
    <x v="0"/>
    <x v="0"/>
    <s v="Расходы на трейд-маркетинг"/>
    <s v="Трейд-маркетинг"/>
    <s v="Директор по маркетингу"/>
    <x v="0"/>
    <x v="14"/>
    <s v="Трейд-маркетинг"/>
    <x v="53"/>
    <m/>
    <m/>
    <m/>
    <m/>
    <n v="25000"/>
    <m/>
    <m/>
    <m/>
    <m/>
    <m/>
    <m/>
    <m/>
    <m/>
    <m/>
    <n v="25000"/>
  </r>
  <r>
    <x v="1"/>
    <x v="0"/>
    <x v="0"/>
    <s v="Расходы на трейд-маркетинг"/>
    <s v="Трейд-маркетинг"/>
    <s v="Директор по маркетингу"/>
    <x v="0"/>
    <x v="14"/>
    <s v="Трейд-маркетинг"/>
    <x v="88"/>
    <m/>
    <m/>
    <m/>
    <m/>
    <m/>
    <m/>
    <m/>
    <m/>
    <m/>
    <n v="1872"/>
    <m/>
    <m/>
    <m/>
    <m/>
    <n v="1872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49"/>
    <m/>
    <m/>
    <m/>
    <n v="2998"/>
    <m/>
    <m/>
    <m/>
    <m/>
    <m/>
    <m/>
    <m/>
    <m/>
    <m/>
    <m/>
    <n v="2998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0"/>
    <m/>
    <m/>
    <m/>
    <m/>
    <n v="96130.8"/>
    <m/>
    <m/>
    <m/>
    <m/>
    <m/>
    <m/>
    <m/>
    <m/>
    <m/>
    <n v="96130.8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1"/>
    <m/>
    <m/>
    <m/>
    <m/>
    <n v="4572"/>
    <m/>
    <m/>
    <m/>
    <m/>
    <m/>
    <m/>
    <m/>
    <m/>
    <m/>
    <n v="4572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2"/>
    <m/>
    <m/>
    <m/>
    <m/>
    <n v="2640"/>
    <m/>
    <m/>
    <m/>
    <m/>
    <m/>
    <n v="5139.84"/>
    <m/>
    <m/>
    <m/>
    <n v="7779.84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4"/>
    <m/>
    <m/>
    <m/>
    <n v="28570.22"/>
    <n v="38793.550000000003"/>
    <n v="3114.86"/>
    <n v="5075.8599999999997"/>
    <n v="3649.93"/>
    <n v="5721.43"/>
    <n v="3513.69"/>
    <n v="2471.0500000000002"/>
    <n v="2330.58"/>
    <m/>
    <m/>
    <n v="93241.170000000013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87"/>
    <m/>
    <m/>
    <m/>
    <m/>
    <m/>
    <m/>
    <m/>
    <m/>
    <n v="2400"/>
    <m/>
    <m/>
    <m/>
    <m/>
    <m/>
    <n v="2400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5"/>
    <m/>
    <m/>
    <m/>
    <m/>
    <m/>
    <m/>
    <m/>
    <n v="2072.9499999999998"/>
    <m/>
    <m/>
    <n v="11166.94"/>
    <n v="250"/>
    <n v="6000"/>
    <n v="6000"/>
    <n v="25489.89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56"/>
    <m/>
    <m/>
    <m/>
    <m/>
    <n v="1560"/>
    <m/>
    <m/>
    <m/>
    <m/>
    <m/>
    <m/>
    <m/>
    <m/>
    <m/>
    <n v="1560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88"/>
    <m/>
    <m/>
    <m/>
    <m/>
    <m/>
    <n v="2444"/>
    <n v="26250"/>
    <m/>
    <m/>
    <n v="-33545.4"/>
    <m/>
    <m/>
    <m/>
    <m/>
    <n v="-4851.4000000000015"/>
  </r>
  <r>
    <x v="1"/>
    <x v="0"/>
    <x v="0"/>
    <s v="Расходы на трейд-маркетинг"/>
    <s v="Трейд-маркетинг"/>
    <s v="Трейд - маркетинг"/>
    <x v="0"/>
    <x v="14"/>
    <s v="Трейд-маркетинг"/>
    <x v="85"/>
    <m/>
    <m/>
    <m/>
    <m/>
    <m/>
    <n v="1476"/>
    <n v="3388.86"/>
    <m/>
    <m/>
    <m/>
    <m/>
    <m/>
    <m/>
    <m/>
    <n v="4864.8600000000006"/>
  </r>
  <r>
    <x v="1"/>
    <x v="0"/>
    <x v="0"/>
    <s v="Расходы на трейд-маркетинг"/>
    <s v="Трейд-маркетинг"/>
    <s v="Холодильное оборудование"/>
    <x v="0"/>
    <x v="14"/>
    <s v="Трейд-маркетинг"/>
    <x v="50"/>
    <m/>
    <m/>
    <n v="6904.4"/>
    <m/>
    <m/>
    <m/>
    <m/>
    <m/>
    <m/>
    <m/>
    <m/>
    <m/>
    <m/>
    <m/>
    <n v="6904.4"/>
  </r>
  <r>
    <x v="1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1"/>
    <m/>
    <m/>
    <m/>
    <m/>
    <m/>
    <m/>
    <m/>
    <m/>
    <m/>
    <m/>
    <m/>
    <m/>
    <n v="5000"/>
    <n v="5000"/>
    <n v="10000"/>
  </r>
  <r>
    <x v="1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2"/>
    <m/>
    <m/>
    <n v="214512.71"/>
    <n v="311615.76"/>
    <n v="341108.64"/>
    <n v="475321"/>
    <n v="559153.89"/>
    <n v="629029.65"/>
    <n v="607090.87"/>
    <n v="590985.65"/>
    <n v="491102.61"/>
    <n v="366998.3"/>
    <n v="425561"/>
    <n v="381250"/>
    <n v="5393730.0800000001"/>
  </r>
  <r>
    <x v="1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63"/>
    <m/>
    <m/>
    <m/>
    <m/>
    <n v="6000"/>
    <n v="15006"/>
    <n v="3120"/>
    <n v="24875"/>
    <n v="3000"/>
    <m/>
    <n v="14633.94"/>
    <n v="24000"/>
    <n v="20000"/>
    <n v="20000"/>
    <n v="130634.94"/>
  </r>
  <r>
    <x v="1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117"/>
    <m/>
    <m/>
    <n v="3404.13"/>
    <m/>
    <m/>
    <n v="3149.75"/>
    <n v="5980.92"/>
    <m/>
    <m/>
    <n v="6167.01"/>
    <m/>
    <m/>
    <m/>
    <m/>
    <n v="18701.809999999998"/>
  </r>
  <r>
    <x v="1"/>
    <x v="0"/>
    <x v="0"/>
    <s v="Финансовые расходы"/>
    <s v="Финансовые расходы"/>
    <s v="Финансово - экономический отдел"/>
    <x v="0"/>
    <x v="16"/>
    <s v="Финансовые расходы"/>
    <x v="118"/>
    <m/>
    <m/>
    <n v="32584.37"/>
    <m/>
    <m/>
    <m/>
    <m/>
    <m/>
    <m/>
    <m/>
    <m/>
    <m/>
    <m/>
    <m/>
    <n v="32584.37"/>
  </r>
  <r>
    <x v="1"/>
    <x v="4"/>
    <x v="8"/>
    <s v="Доход от реализации (чистые продажи)"/>
    <s v="Доход от реализации (чистые продажи)"/>
    <s v="Доход от реализации (чистые продажи)"/>
    <x v="1"/>
    <x v="25"/>
    <s v="Доход от реализации (чистые продажи)"/>
    <x v="104"/>
    <m/>
    <m/>
    <n v="3977105.1125901272"/>
    <n v="5873037.055683258"/>
    <n v="5868061.1754100742"/>
    <n v="12616655.343211653"/>
    <n v="28008227.007209223"/>
    <n v="27288215.041445371"/>
    <n v="24198062.113031559"/>
    <n v="16606777.400070257"/>
    <n v="4460611.2921188548"/>
    <n v="3800723.0083173313"/>
    <n v="5200200.5643801764"/>
    <n v="3937551.2094125967"/>
    <n v="141835226.32288048"/>
  </r>
  <r>
    <x v="1"/>
    <x v="4"/>
    <x v="8"/>
    <s v="Доход от реализации (чистые продажи)"/>
    <s v="Доход от реализации (чистые продажи)"/>
    <s v="Доход от реализации (чистые продажи)"/>
    <x v="2"/>
    <x v="25"/>
    <s v="Доход от реализации (чистые продажи)"/>
    <x v="104"/>
    <m/>
    <m/>
    <n v="9516542.1074098721"/>
    <n v="10453265.544316741"/>
    <n v="10803926.084589925"/>
    <n v="13231027.026788345"/>
    <n v="21583071.522790782"/>
    <n v="27153134.578554634"/>
    <n v="21498987.986968443"/>
    <n v="17977523.639929745"/>
    <n v="11560160.697881147"/>
    <n v="10229213.37168267"/>
    <n v="9728489.5356198214"/>
    <n v="12432520.054376213"/>
    <n v="176167862.15090832"/>
  </r>
  <r>
    <x v="1"/>
    <x v="0"/>
    <x v="5"/>
    <s v="Логистическая деятельность"/>
    <s v="Аренда"/>
    <s v="Внешняя логистика"/>
    <x v="2"/>
    <x v="9"/>
    <s v="Аренда"/>
    <x v="34"/>
    <m/>
    <m/>
    <m/>
    <m/>
    <m/>
    <n v="2019.3"/>
    <n v="1819"/>
    <m/>
    <n v="3538.72"/>
    <m/>
    <m/>
    <m/>
    <m/>
    <m/>
    <n v="7377.02"/>
  </r>
  <r>
    <x v="1"/>
    <x v="0"/>
    <x v="5"/>
    <s v="Логистическая деятельность"/>
    <s v="Аренда"/>
    <s v="Внешняя логистика"/>
    <x v="2"/>
    <x v="9"/>
    <s v="Аренда"/>
    <x v="28"/>
    <m/>
    <m/>
    <n v="2455"/>
    <m/>
    <n v="2455"/>
    <n v="2445"/>
    <n v="2445"/>
    <n v="2445"/>
    <n v="2445"/>
    <n v="2445"/>
    <m/>
    <m/>
    <m/>
    <m/>
    <n v="17135"/>
  </r>
  <r>
    <x v="1"/>
    <x v="0"/>
    <x v="5"/>
    <s v="Логистическая деятельность"/>
    <s v="Аренда"/>
    <s v="Внешняя логистика"/>
    <x v="2"/>
    <x v="9"/>
    <s v="Аренда"/>
    <x v="70"/>
    <m/>
    <m/>
    <n v="175798.93"/>
    <n v="228169.03"/>
    <n v="350604.53"/>
    <n v="652763.43000000005"/>
    <n v="995684.49"/>
    <n v="1044289.89"/>
    <n v="769139.48"/>
    <n v="339082.85"/>
    <n v="293655.53000000003"/>
    <m/>
    <n v="288400"/>
    <m/>
    <n v="5137588.16"/>
  </r>
  <r>
    <x v="1"/>
    <x v="0"/>
    <x v="5"/>
    <s v="Логистическая деятельность"/>
    <s v="Аренда"/>
    <s v="Внешняя логистика"/>
    <x v="0"/>
    <x v="9"/>
    <s v="Аренда"/>
    <x v="28"/>
    <m/>
    <m/>
    <m/>
    <m/>
    <m/>
    <m/>
    <m/>
    <m/>
    <m/>
    <m/>
    <m/>
    <n v="801.15"/>
    <m/>
    <m/>
    <n v="801.15"/>
  </r>
  <r>
    <x v="1"/>
    <x v="0"/>
    <x v="5"/>
    <s v="Логистическая деятельность"/>
    <s v="Аренда"/>
    <s v="Внешняя логистика"/>
    <x v="0"/>
    <x v="9"/>
    <s v="Аренда"/>
    <x v="70"/>
    <m/>
    <m/>
    <m/>
    <m/>
    <m/>
    <m/>
    <m/>
    <m/>
    <m/>
    <m/>
    <n v="8387.5"/>
    <n v="386594.9"/>
    <m/>
    <n v="453000"/>
    <n v="847982.4"/>
  </r>
  <r>
    <x v="1"/>
    <x v="0"/>
    <x v="5"/>
    <s v="Логистическая деятельность"/>
    <s v="Аренда"/>
    <s v="Львов"/>
    <x v="2"/>
    <x v="9"/>
    <s v="Аренда"/>
    <x v="28"/>
    <m/>
    <m/>
    <n v="955.42"/>
    <n v="704.12"/>
    <n v="846.28"/>
    <n v="830.72"/>
    <n v="989.63"/>
    <n v="1000"/>
    <n v="1117.94"/>
    <n v="944.1"/>
    <m/>
    <m/>
    <m/>
    <m/>
    <n v="7388.2100000000009"/>
  </r>
  <r>
    <x v="1"/>
    <x v="0"/>
    <x v="5"/>
    <s v="Логистическая деятельность"/>
    <s v="Аренда"/>
    <s v="Львов"/>
    <x v="2"/>
    <x v="9"/>
    <s v="Аренда"/>
    <x v="70"/>
    <m/>
    <m/>
    <n v="20000"/>
    <n v="20000"/>
    <n v="20000"/>
    <n v="20000"/>
    <n v="20000"/>
    <n v="20000"/>
    <n v="20000"/>
    <n v="20000"/>
    <m/>
    <m/>
    <m/>
    <m/>
    <n v="160000"/>
  </r>
  <r>
    <x v="1"/>
    <x v="0"/>
    <x v="5"/>
    <s v="Логистическая деятельность"/>
    <s v="Аренда"/>
    <s v="Львов"/>
    <x v="0"/>
    <x v="9"/>
    <s v="Аренда"/>
    <x v="28"/>
    <m/>
    <m/>
    <m/>
    <m/>
    <m/>
    <m/>
    <m/>
    <m/>
    <m/>
    <m/>
    <n v="1007.4"/>
    <m/>
    <n v="1000"/>
    <n v="1500"/>
    <n v="3507.4"/>
  </r>
  <r>
    <x v="1"/>
    <x v="0"/>
    <x v="5"/>
    <s v="Логистическая деятельность"/>
    <s v="Аренда"/>
    <s v="Львов"/>
    <x v="0"/>
    <x v="9"/>
    <s v="Аренда"/>
    <x v="70"/>
    <m/>
    <m/>
    <m/>
    <m/>
    <m/>
    <m/>
    <m/>
    <m/>
    <m/>
    <m/>
    <n v="20000"/>
    <m/>
    <n v="20000"/>
    <n v="20000"/>
    <n v="60000"/>
  </r>
  <r>
    <x v="1"/>
    <x v="0"/>
    <x v="5"/>
    <s v="Логистическая деятельность"/>
    <s v="Зарплата"/>
    <s v="Внешняя логистика"/>
    <x v="2"/>
    <x v="0"/>
    <s v="Зарплата"/>
    <x v="0"/>
    <m/>
    <m/>
    <n v="42320"/>
    <n v="25940"/>
    <n v="38520"/>
    <n v="42871.64"/>
    <n v="43627.8"/>
    <n v="43282.57"/>
    <n v="44302.47"/>
    <n v="40820.1"/>
    <m/>
    <m/>
    <m/>
    <m/>
    <n v="321684.57999999996"/>
  </r>
  <r>
    <x v="1"/>
    <x v="0"/>
    <x v="5"/>
    <s v="Логистическая деятельность"/>
    <s v="Зарплата"/>
    <s v="Внешняя логистика"/>
    <x v="0"/>
    <x v="0"/>
    <s v="Зарплата"/>
    <x v="0"/>
    <m/>
    <m/>
    <m/>
    <m/>
    <m/>
    <m/>
    <m/>
    <m/>
    <m/>
    <m/>
    <n v="36261.620000000003"/>
    <n v="38675.22"/>
    <n v="38520"/>
    <n v="41614"/>
    <n v="155070.84"/>
  </r>
  <r>
    <x v="1"/>
    <x v="0"/>
    <x v="5"/>
    <s v="Логистическая деятельность"/>
    <s v="Зарплата"/>
    <s v="Директор по логистике"/>
    <x v="0"/>
    <x v="0"/>
    <s v="Зарплата"/>
    <x v="0"/>
    <m/>
    <m/>
    <m/>
    <n v="17520"/>
    <n v="19642"/>
    <n v="19642"/>
    <n v="15713.6"/>
    <n v="19642"/>
    <n v="19642"/>
    <n v="19642"/>
    <n v="19642"/>
    <n v="19642"/>
    <n v="19642"/>
    <n v="19642"/>
    <n v="210011.6"/>
  </r>
  <r>
    <x v="1"/>
    <x v="0"/>
    <x v="5"/>
    <s v="Логистическая деятельность"/>
    <s v="Зарплата"/>
    <s v="Львов"/>
    <x v="2"/>
    <x v="0"/>
    <s v="Зарплата"/>
    <x v="0"/>
    <m/>
    <m/>
    <n v="37749.11"/>
    <n v="42476.25"/>
    <n v="40690"/>
    <n v="40829"/>
    <n v="38072"/>
    <n v="38072"/>
    <n v="38189.75"/>
    <n v="38072"/>
    <m/>
    <m/>
    <m/>
    <m/>
    <n v="314150.11"/>
  </r>
  <r>
    <x v="1"/>
    <x v="0"/>
    <x v="5"/>
    <s v="Логистическая деятельность"/>
    <s v="Зарплата"/>
    <s v="Львов"/>
    <x v="0"/>
    <x v="0"/>
    <s v="Зарплата"/>
    <x v="0"/>
    <m/>
    <m/>
    <m/>
    <m/>
    <m/>
    <m/>
    <m/>
    <m/>
    <m/>
    <m/>
    <n v="38072"/>
    <n v="38439.199999999997"/>
    <n v="38072"/>
    <n v="38072"/>
    <n v="152655.20000000001"/>
  </r>
  <r>
    <x v="1"/>
    <x v="0"/>
    <x v="5"/>
    <s v="Логистическая деятельность"/>
    <s v="Зарплата"/>
    <s v="Складская логистика"/>
    <x v="0"/>
    <x v="0"/>
    <s v="Зарплата"/>
    <x v="0"/>
    <m/>
    <m/>
    <n v="87766.52"/>
    <n v="89476.9"/>
    <n v="116728.16"/>
    <n v="145818.93"/>
    <n v="155243.87"/>
    <n v="163487.67999999999"/>
    <n v="165075.23000000001"/>
    <n v="148688.62"/>
    <n v="126840.46"/>
    <n v="104673.22"/>
    <n v="102376"/>
    <n v="102376"/>
    <n v="1508551.5899999996"/>
  </r>
  <r>
    <x v="1"/>
    <x v="0"/>
    <x v="5"/>
    <s v="Логистическая деятельность"/>
    <s v="Зарплата"/>
    <s v="Транспортная логистика"/>
    <x v="0"/>
    <x v="0"/>
    <s v="Зарплата"/>
    <x v="0"/>
    <m/>
    <m/>
    <n v="34131.980000000003"/>
    <n v="37781.760000000002"/>
    <n v="38210.35"/>
    <n v="42478.17"/>
    <n v="54139.46"/>
    <n v="57455.21"/>
    <n v="43616.78"/>
    <n v="42781.72"/>
    <n v="36876.660000000003"/>
    <n v="36939.06"/>
    <n v="43494"/>
    <n v="43494"/>
    <n v="511399.14999999997"/>
  </r>
  <r>
    <x v="1"/>
    <x v="0"/>
    <x v="5"/>
    <s v="Логистическая деятельность"/>
    <s v="Командировочные расходы"/>
    <s v="Внешняя логистика"/>
    <x v="2"/>
    <x v="1"/>
    <s v="Командировочные расходы"/>
    <x v="1"/>
    <m/>
    <m/>
    <n v="1466"/>
    <m/>
    <n v="2822.85"/>
    <n v="530"/>
    <m/>
    <n v="1489"/>
    <n v="1590"/>
    <n v="1737"/>
    <m/>
    <m/>
    <m/>
    <m/>
    <n v="9634.85"/>
  </r>
  <r>
    <x v="1"/>
    <x v="0"/>
    <x v="5"/>
    <s v="Логистическая деятельность"/>
    <s v="Командировочные расходы"/>
    <s v="Внешняя логистика"/>
    <x v="0"/>
    <x v="1"/>
    <s v="Командировочные расходы"/>
    <x v="1"/>
    <m/>
    <m/>
    <m/>
    <m/>
    <m/>
    <m/>
    <m/>
    <m/>
    <m/>
    <m/>
    <n v="1736.33"/>
    <n v="1156.23"/>
    <n v="2000"/>
    <n v="2000"/>
    <n v="6892.5599999999995"/>
  </r>
  <r>
    <x v="1"/>
    <x v="0"/>
    <x v="5"/>
    <s v="Логистическая деятельность"/>
    <s v="Командировочные расходы"/>
    <s v="Директор по логистике"/>
    <x v="0"/>
    <x v="1"/>
    <s v="Командировочные расходы"/>
    <x v="1"/>
    <m/>
    <m/>
    <m/>
    <m/>
    <n v="1602.81"/>
    <m/>
    <n v="3250"/>
    <m/>
    <n v="650.92999999999995"/>
    <m/>
    <m/>
    <n v="938.26"/>
    <n v="3000"/>
    <n v="3000"/>
    <n v="12442"/>
  </r>
  <r>
    <x v="1"/>
    <x v="0"/>
    <x v="5"/>
    <s v="Логистическая деятельность"/>
    <s v="Командировочные расходы"/>
    <s v="Львов"/>
    <x v="2"/>
    <x v="1"/>
    <s v="Командировочные расходы"/>
    <x v="1"/>
    <m/>
    <m/>
    <n v="4510"/>
    <n v="5000"/>
    <n v="6850"/>
    <n v="5000"/>
    <n v="4950"/>
    <n v="6580"/>
    <n v="6142.97"/>
    <n v="5495"/>
    <m/>
    <m/>
    <m/>
    <m/>
    <n v="44527.97"/>
  </r>
  <r>
    <x v="1"/>
    <x v="0"/>
    <x v="5"/>
    <s v="Логистическая деятельность"/>
    <s v="Командировочные расходы"/>
    <s v="Львов"/>
    <x v="0"/>
    <x v="1"/>
    <s v="Командировочные расходы"/>
    <x v="1"/>
    <m/>
    <m/>
    <m/>
    <m/>
    <m/>
    <m/>
    <m/>
    <m/>
    <m/>
    <m/>
    <n v="4502.2"/>
    <n v="5500"/>
    <n v="6600"/>
    <n v="7600"/>
    <n v="24202.2"/>
  </r>
  <r>
    <x v="1"/>
    <x v="0"/>
    <x v="5"/>
    <s v="Логистическая деятельность"/>
    <s v="Командировочные расходы"/>
    <s v="Складская логистика"/>
    <x v="0"/>
    <x v="1"/>
    <s v="Командировочные расходы"/>
    <x v="1"/>
    <m/>
    <m/>
    <m/>
    <n v="100"/>
    <n v="50"/>
    <n v="750"/>
    <n v="1067"/>
    <n v="458.5"/>
    <n v="125"/>
    <m/>
    <m/>
    <m/>
    <n v="300"/>
    <n v="300"/>
    <n v="3150.5"/>
  </r>
  <r>
    <x v="1"/>
    <x v="0"/>
    <x v="5"/>
    <s v="Логистическая деятельность"/>
    <s v="Командировочные расходы"/>
    <s v="Транспортная логистика"/>
    <x v="0"/>
    <x v="1"/>
    <s v="Командировочные расходы"/>
    <x v="1"/>
    <m/>
    <m/>
    <m/>
    <m/>
    <m/>
    <m/>
    <m/>
    <m/>
    <n v="100"/>
    <m/>
    <m/>
    <m/>
    <m/>
    <m/>
    <n v="100"/>
  </r>
  <r>
    <x v="1"/>
    <x v="0"/>
    <x v="5"/>
    <s v="Логистическая деятельность"/>
    <s v="Расходы на канцтовары и обслуживание оргтехники"/>
    <s v="Внешняя логистика"/>
    <x v="2"/>
    <x v="6"/>
    <s v="Расходы на канцтовары и обслуживание оргтехники"/>
    <x v="17"/>
    <m/>
    <m/>
    <n v="1093.18"/>
    <n v="605.36"/>
    <n v="537.73"/>
    <n v="399.05"/>
    <n v="554.35"/>
    <n v="1203.31"/>
    <n v="983.27"/>
    <n v="498.26"/>
    <m/>
    <m/>
    <m/>
    <m/>
    <n v="5874.51"/>
  </r>
  <r>
    <x v="1"/>
    <x v="0"/>
    <x v="5"/>
    <s v="Логистическая деятельность"/>
    <s v="Расходы на канцтовары и обслуживание оргтехники"/>
    <s v="Внешняя логистика"/>
    <x v="0"/>
    <x v="6"/>
    <s v="Расходы на канцтовары и обслуживание оргтехники"/>
    <x v="17"/>
    <m/>
    <m/>
    <m/>
    <m/>
    <m/>
    <m/>
    <m/>
    <m/>
    <m/>
    <m/>
    <n v="296.14"/>
    <n v="704.95"/>
    <n v="460"/>
    <n v="560"/>
    <n v="2021.0900000000001"/>
  </r>
  <r>
    <x v="1"/>
    <x v="0"/>
    <x v="5"/>
    <s v="Логистическая деятельность"/>
    <s v="Расходы на канцтовары и обслуживание оргтехники"/>
    <s v="Львов"/>
    <x v="2"/>
    <x v="6"/>
    <s v="Расходы на канцтовары и обслуживание оргтехники"/>
    <x v="17"/>
    <m/>
    <m/>
    <n v="400"/>
    <n v="537.6"/>
    <n v="1501"/>
    <n v="1043.05"/>
    <n v="1082.79"/>
    <n v="1061.24"/>
    <n v="1085.42"/>
    <n v="678.16"/>
    <m/>
    <m/>
    <m/>
    <m/>
    <n v="7389.2599999999993"/>
  </r>
  <r>
    <x v="1"/>
    <x v="0"/>
    <x v="5"/>
    <s v="Логистическая деятельность"/>
    <s v="Расходы на канцтовары и обслуживание оргтехники"/>
    <s v="Львов"/>
    <x v="2"/>
    <x v="6"/>
    <s v="Расходы на канцтовары и обслуживание оргтехники"/>
    <x v="38"/>
    <m/>
    <m/>
    <n v="204"/>
    <n v="204"/>
    <n v="849"/>
    <n v="213"/>
    <n v="204"/>
    <n v="273"/>
    <n v="102"/>
    <n v="204"/>
    <m/>
    <m/>
    <m/>
    <m/>
    <n v="2253"/>
  </r>
  <r>
    <x v="1"/>
    <x v="0"/>
    <x v="5"/>
    <s v="Логистическая деятельность"/>
    <s v="Расходы на канцтовары и обслуживание оргтехники"/>
    <s v="Львов"/>
    <x v="0"/>
    <x v="6"/>
    <s v="Расходы на канцтовары и обслуживание оргтехники"/>
    <x v="17"/>
    <m/>
    <m/>
    <m/>
    <m/>
    <m/>
    <m/>
    <m/>
    <m/>
    <m/>
    <m/>
    <n v="689.69"/>
    <n v="663.53"/>
    <n v="700"/>
    <n v="700"/>
    <n v="2753.2200000000003"/>
  </r>
  <r>
    <x v="1"/>
    <x v="0"/>
    <x v="5"/>
    <s v="Логистическая деятельность"/>
    <s v="Расходы на канцтовары и обслуживание оргтехники"/>
    <s v="Львов"/>
    <x v="0"/>
    <x v="6"/>
    <s v="Расходы на канцтовары и обслуживание оргтехники"/>
    <x v="38"/>
    <m/>
    <m/>
    <m/>
    <m/>
    <m/>
    <m/>
    <m/>
    <m/>
    <m/>
    <m/>
    <n v="204"/>
    <n v="204"/>
    <n v="453"/>
    <n v="450"/>
    <n v="1311"/>
  </r>
  <r>
    <x v="1"/>
    <x v="0"/>
    <x v="5"/>
    <s v="Логистическая деятельность"/>
    <s v="Расходы на канцтовары и обслуживание оргтехники"/>
    <s v="Складская логистика"/>
    <x v="0"/>
    <x v="6"/>
    <s v="Расходы на канцтовары и обслуживание оргтехники"/>
    <x v="17"/>
    <m/>
    <m/>
    <n v="658.7"/>
    <n v="797.3"/>
    <n v="998.3"/>
    <n v="1016"/>
    <n v="1051.4000000000001"/>
    <n v="1027"/>
    <n v="999.8"/>
    <n v="999.8"/>
    <n v="1019"/>
    <n v="994.3"/>
    <n v="1000"/>
    <n v="1000"/>
    <n v="11561.6"/>
  </r>
  <r>
    <x v="1"/>
    <x v="0"/>
    <x v="5"/>
    <s v="Логистическая деятельность"/>
    <s v="Расходы на контроль качества"/>
    <s v="Внешняя логистика"/>
    <x v="2"/>
    <x v="13"/>
    <s v="Расходы на контроль качества"/>
    <x v="41"/>
    <m/>
    <m/>
    <m/>
    <m/>
    <m/>
    <m/>
    <m/>
    <m/>
    <m/>
    <n v="3500"/>
    <m/>
    <m/>
    <m/>
    <m/>
    <n v="3500"/>
  </r>
  <r>
    <x v="1"/>
    <x v="2"/>
    <x v="5"/>
    <s v="Логистическая деятельность"/>
    <s v="Расходы на логистику"/>
    <s v="Внешняя логистика"/>
    <x v="2"/>
    <x v="12"/>
    <s v="Найм транспорта"/>
    <x v="36"/>
    <m/>
    <m/>
    <n v="646128.66"/>
    <n v="629509.56999999995"/>
    <n v="690237.27"/>
    <n v="722146.14"/>
    <n v="1090121.1000000001"/>
    <n v="1513124.99"/>
    <n v="1185064.7"/>
    <n v="1242860.67"/>
    <n v="841786.77"/>
    <m/>
    <n v="723730"/>
    <m/>
    <n v="9284709.870000001"/>
  </r>
  <r>
    <x v="1"/>
    <x v="0"/>
    <x v="5"/>
    <s v="Логистическая деятельность"/>
    <s v="Расходы на логистику"/>
    <s v="Внешняя логистика"/>
    <x v="2"/>
    <x v="12"/>
    <s v="Расходы на транспортировку"/>
    <x v="75"/>
    <m/>
    <m/>
    <n v="2654"/>
    <n v="4400"/>
    <m/>
    <n v="900"/>
    <n v="9239"/>
    <n v="9383.08"/>
    <n v="7323"/>
    <m/>
    <m/>
    <m/>
    <m/>
    <m/>
    <n v="33899.08"/>
  </r>
  <r>
    <x v="1"/>
    <x v="2"/>
    <x v="5"/>
    <s v="Логистическая деятельность"/>
    <s v="Расходы на логистику"/>
    <s v="Внешняя логистика"/>
    <x v="2"/>
    <x v="12"/>
    <s v="Найм транспорта"/>
    <x v="36"/>
    <m/>
    <m/>
    <m/>
    <m/>
    <m/>
    <m/>
    <m/>
    <m/>
    <m/>
    <m/>
    <m/>
    <n v="590039.76"/>
    <m/>
    <n v="747600"/>
    <n v="1337639.76"/>
  </r>
  <r>
    <x v="1"/>
    <x v="0"/>
    <x v="5"/>
    <s v="Логистическая деятельность"/>
    <s v="Расходы на логистику"/>
    <s v="Внешняя логистика"/>
    <x v="0"/>
    <x v="12"/>
    <s v="Расходы на транспортировку"/>
    <x v="75"/>
    <m/>
    <m/>
    <m/>
    <m/>
    <m/>
    <m/>
    <m/>
    <m/>
    <m/>
    <m/>
    <m/>
    <n v="1000"/>
    <m/>
    <m/>
    <n v="1000"/>
  </r>
  <r>
    <x v="1"/>
    <x v="2"/>
    <x v="5"/>
    <s v="Логистическая деятельность"/>
    <s v="Расходы на логистику"/>
    <s v="Днепропетровск"/>
    <x v="2"/>
    <x v="12"/>
    <s v="Найм транспорта"/>
    <x v="36"/>
    <m/>
    <m/>
    <m/>
    <n v="160"/>
    <m/>
    <m/>
    <m/>
    <m/>
    <m/>
    <m/>
    <m/>
    <m/>
    <m/>
    <m/>
    <n v="160"/>
  </r>
  <r>
    <x v="1"/>
    <x v="2"/>
    <x v="5"/>
    <s v="Логистическая деятельность"/>
    <s v="Расходы на логистику"/>
    <s v="Львов"/>
    <x v="2"/>
    <x v="12"/>
    <s v="Найм транспорта"/>
    <x v="36"/>
    <m/>
    <m/>
    <m/>
    <m/>
    <m/>
    <n v="21310"/>
    <n v="36015"/>
    <n v="56080"/>
    <n v="73525"/>
    <n v="55505"/>
    <m/>
    <m/>
    <m/>
    <m/>
    <n v="242435"/>
  </r>
  <r>
    <x v="1"/>
    <x v="2"/>
    <x v="5"/>
    <s v="Логистическая деятельность"/>
    <s v="Расходы на логистику"/>
    <s v="Львов"/>
    <x v="2"/>
    <x v="12"/>
    <s v="Расходы на ГСМ транспорта"/>
    <x v="72"/>
    <m/>
    <m/>
    <n v="40412.74"/>
    <n v="39753.22"/>
    <n v="41136.29"/>
    <n v="37106.949999999997"/>
    <n v="44582.65"/>
    <n v="47488.99"/>
    <n v="55470.43"/>
    <n v="37476.57"/>
    <n v="38707.89"/>
    <m/>
    <m/>
    <m/>
    <n v="382135.73000000004"/>
  </r>
  <r>
    <x v="1"/>
    <x v="0"/>
    <x v="5"/>
    <s v="Логистическая деятельность"/>
    <s v="Расходы на логистику"/>
    <s v="Львов"/>
    <x v="2"/>
    <x v="12"/>
    <s v="Расходы на транспортировку"/>
    <x v="75"/>
    <m/>
    <m/>
    <m/>
    <m/>
    <m/>
    <n v="2500"/>
    <n v="3800"/>
    <n v="2000"/>
    <n v="400"/>
    <n v="3740"/>
    <m/>
    <m/>
    <m/>
    <m/>
    <n v="12440"/>
  </r>
  <r>
    <x v="1"/>
    <x v="2"/>
    <x v="5"/>
    <s v="Логистическая деятельность"/>
    <s v="Расходы на логистику"/>
    <s v="Львов"/>
    <x v="2"/>
    <x v="12"/>
    <s v="Расходы на ГСМ транспорта"/>
    <x v="72"/>
    <m/>
    <m/>
    <m/>
    <m/>
    <m/>
    <m/>
    <m/>
    <m/>
    <m/>
    <m/>
    <m/>
    <n v="42519.03"/>
    <n v="30000"/>
    <n v="25000"/>
    <n v="97519.03"/>
  </r>
  <r>
    <x v="1"/>
    <x v="2"/>
    <x v="5"/>
    <s v="Логистическая деятельность"/>
    <s v="Расходы на логистику"/>
    <s v="Складская логистика"/>
    <x v="2"/>
    <x v="12"/>
    <s v="Найм транспорта"/>
    <x v="36"/>
    <m/>
    <m/>
    <m/>
    <m/>
    <m/>
    <m/>
    <m/>
    <m/>
    <m/>
    <m/>
    <n v="283500"/>
    <m/>
    <n v="231420"/>
    <m/>
    <n v="514920"/>
  </r>
  <r>
    <x v="1"/>
    <x v="2"/>
    <x v="5"/>
    <s v="Логистическая деятельность"/>
    <s v="Расходы на логистику"/>
    <s v="Складская логистика"/>
    <x v="2"/>
    <x v="12"/>
    <s v="Найм транспорта"/>
    <x v="36"/>
    <m/>
    <m/>
    <m/>
    <m/>
    <m/>
    <m/>
    <m/>
    <m/>
    <m/>
    <m/>
    <m/>
    <m/>
    <n v="43330"/>
    <m/>
    <n v="43330"/>
  </r>
  <r>
    <x v="1"/>
    <x v="0"/>
    <x v="5"/>
    <s v="Логистическая деятельность"/>
    <s v="Расходы на логистику"/>
    <s v="Складская логистика"/>
    <x v="2"/>
    <x v="12"/>
    <s v="Найм транспорта"/>
    <x v="74"/>
    <m/>
    <m/>
    <m/>
    <m/>
    <m/>
    <m/>
    <m/>
    <m/>
    <m/>
    <m/>
    <n v="32539.73"/>
    <m/>
    <m/>
    <m/>
    <n v="32539.73"/>
  </r>
  <r>
    <x v="1"/>
    <x v="2"/>
    <x v="5"/>
    <s v="Логистическая деятельность"/>
    <s v="Расходы на логистику"/>
    <s v="Складская логистика"/>
    <x v="1"/>
    <x v="12"/>
    <s v="Найм транспорта"/>
    <x v="36"/>
    <m/>
    <m/>
    <n v="309300"/>
    <n v="458950"/>
    <n v="630200"/>
    <n v="1039898"/>
    <n v="1720200"/>
    <n v="1790650"/>
    <n v="1786800"/>
    <n v="1135530"/>
    <m/>
    <n v="370250"/>
    <n v="204101"/>
    <n v="470850"/>
    <n v="9916729"/>
  </r>
  <r>
    <x v="1"/>
    <x v="0"/>
    <x v="5"/>
    <s v="Логистическая деятельность"/>
    <s v="Расходы на логистику"/>
    <s v="Складская логистика"/>
    <x v="0"/>
    <x v="12"/>
    <s v="Найм транспорта"/>
    <x v="74"/>
    <m/>
    <m/>
    <m/>
    <n v="2000"/>
    <n v="11185"/>
    <n v="64900"/>
    <n v="121500"/>
    <n v="85145"/>
    <n v="83591.17"/>
    <n v="90150.1"/>
    <m/>
    <n v="31995.65"/>
    <n v="20000"/>
    <n v="20000"/>
    <n v="530466.92000000004"/>
  </r>
  <r>
    <x v="1"/>
    <x v="0"/>
    <x v="5"/>
    <s v="Логистическая деятельность"/>
    <s v="Расходы на логистику"/>
    <s v="Складская логистика"/>
    <x v="0"/>
    <x v="12"/>
    <s v="Расходы на ГСМ транспорта"/>
    <x v="78"/>
    <m/>
    <m/>
    <n v="18286.8"/>
    <n v="24453.39"/>
    <n v="30595.57"/>
    <n v="31319.43"/>
    <n v="25649.05"/>
    <n v="30372.720000000001"/>
    <n v="29485.08"/>
    <n v="36224.589999999997"/>
    <n v="21001.98"/>
    <m/>
    <m/>
    <m/>
    <n v="247388.61000000004"/>
  </r>
  <r>
    <x v="1"/>
    <x v="0"/>
    <x v="5"/>
    <s v="Логистическая деятельность"/>
    <s v="Расходы на логистику"/>
    <s v="Складская логистика"/>
    <x v="0"/>
    <x v="12"/>
    <s v="Расходы на транспортировку"/>
    <x v="75"/>
    <m/>
    <m/>
    <n v="150"/>
    <n v="57050"/>
    <n v="59300"/>
    <n v="134881.5"/>
    <n v="138725"/>
    <n v="98249.57"/>
    <n v="67247.12"/>
    <n v="43543.45"/>
    <n v="32626"/>
    <n v="36908.400000000001"/>
    <n v="5000"/>
    <n v="5000"/>
    <n v="678681.03999999992"/>
  </r>
  <r>
    <x v="1"/>
    <x v="2"/>
    <x v="5"/>
    <s v="Логистическая деятельность"/>
    <s v="Расходы на логистику"/>
    <s v="Транспортная логистика"/>
    <x v="2"/>
    <x v="12"/>
    <s v="Найм транспорта"/>
    <x v="36"/>
    <m/>
    <m/>
    <m/>
    <m/>
    <m/>
    <m/>
    <n v="7260"/>
    <m/>
    <m/>
    <m/>
    <m/>
    <m/>
    <m/>
    <m/>
    <n v="7260"/>
  </r>
  <r>
    <x v="1"/>
    <x v="0"/>
    <x v="5"/>
    <s v="Логистическая деятельность"/>
    <s v="Расходы на логистику"/>
    <s v="Транспортная логистика"/>
    <x v="0"/>
    <x v="12"/>
    <s v="Расходы на ГСМ транспорта"/>
    <x v="78"/>
    <m/>
    <m/>
    <n v="16765.43"/>
    <n v="14901.740000000002"/>
    <n v="13477.08"/>
    <n v="18459.650000000001"/>
    <n v="17664.060000000001"/>
    <n v="16064.12"/>
    <n v="18651.25"/>
    <n v="17322.8"/>
    <n v="17186.099999999999"/>
    <n v="34681.54"/>
    <n v="60000"/>
    <n v="88761"/>
    <n v="333934.77"/>
  </r>
  <r>
    <x v="1"/>
    <x v="2"/>
    <x v="5"/>
    <s v="Логистическая деятельность"/>
    <s v="Расходы на логистику"/>
    <s v="Транспортная логистика"/>
    <x v="2"/>
    <x v="12"/>
    <s v="Расходы на ГСМ транспорта"/>
    <x v="72"/>
    <m/>
    <m/>
    <m/>
    <m/>
    <m/>
    <m/>
    <m/>
    <m/>
    <m/>
    <m/>
    <n v="600"/>
    <m/>
    <m/>
    <m/>
    <n v="600"/>
  </r>
  <r>
    <x v="1"/>
    <x v="0"/>
    <x v="5"/>
    <s v="Логистическая деятельность"/>
    <s v="Расходы на логистику"/>
    <s v="Транспортная логистика"/>
    <x v="0"/>
    <x v="12"/>
    <s v="Расходы на ГСМ транспорта"/>
    <x v="119"/>
    <m/>
    <m/>
    <n v="18177.5"/>
    <n v="19114.53"/>
    <n v="21431.45"/>
    <n v="43974.09"/>
    <n v="69727.94"/>
    <n v="70363.39"/>
    <n v="48666.02"/>
    <n v="40361.78"/>
    <n v="40826.53"/>
    <n v="37798.51"/>
    <m/>
    <m/>
    <n v="410441.74000000011"/>
  </r>
  <r>
    <x v="1"/>
    <x v="0"/>
    <x v="5"/>
    <s v="Логистическая деятельность"/>
    <s v="Расходы на логистику"/>
    <s v="Холодильное оборудование"/>
    <x v="0"/>
    <x v="12"/>
    <s v="Расходы на транспортировку"/>
    <x v="75"/>
    <m/>
    <m/>
    <m/>
    <m/>
    <m/>
    <m/>
    <n v="18087"/>
    <m/>
    <m/>
    <m/>
    <m/>
    <m/>
    <m/>
    <m/>
    <n v="18087"/>
  </r>
  <r>
    <x v="1"/>
    <x v="0"/>
    <x v="5"/>
    <s v="Логистическая деятельность"/>
    <s v="Расходы на налоги"/>
    <s v="Внешняя логистика"/>
    <x v="2"/>
    <x v="3"/>
    <s v="Расходы на налоги"/>
    <x v="12"/>
    <m/>
    <m/>
    <m/>
    <n v="2707.0717185100689"/>
    <n v="5505.6113805204241"/>
    <m/>
    <m/>
    <n v="6898.9240299029716"/>
    <n v="9429.371701570697"/>
    <m/>
    <m/>
    <m/>
    <m/>
    <m/>
    <n v="24540.978830504162"/>
  </r>
  <r>
    <x v="1"/>
    <x v="0"/>
    <x v="5"/>
    <s v="Логистическая деятельность"/>
    <s v="Расходы на налоги"/>
    <s v="Внешняя логистика"/>
    <x v="0"/>
    <x v="3"/>
    <s v="Расходы на налоги"/>
    <x v="12"/>
    <m/>
    <m/>
    <n v="4133.4039562237767"/>
    <m/>
    <m/>
    <n v="5944.613370389563"/>
    <n v="5580.8781848163708"/>
    <m/>
    <m/>
    <n v="5924.6200178349427"/>
    <n v="4111.2020129500743"/>
    <n v="5304.9824996033349"/>
    <n v="4704.76"/>
    <n v="5216.7299999999996"/>
    <n v="40921.190041818059"/>
  </r>
  <r>
    <x v="1"/>
    <x v="0"/>
    <x v="5"/>
    <s v="Логистическая деятельность"/>
    <s v="Расходы на налоги"/>
    <s v="Директор по логистике"/>
    <x v="0"/>
    <x v="3"/>
    <s v="Расходы на налоги"/>
    <x v="12"/>
    <m/>
    <m/>
    <m/>
    <n v="513.33077655420527"/>
    <n v="941.7330678539978"/>
    <n v="1016.8242179806155"/>
    <n v="869.29633509150335"/>
    <n v="847.40355840142877"/>
    <n v="4180.6183484183084"/>
    <n v="847.13106214959259"/>
    <n v="779.74387220508822"/>
    <n v="907.41556186462572"/>
    <n v="892.32"/>
    <n v="892.32"/>
    <n v="12688.136800519365"/>
  </r>
  <r>
    <x v="1"/>
    <x v="0"/>
    <x v="5"/>
    <s v="Логистическая деятельность"/>
    <s v="Расходы на налоги"/>
    <s v="Львов"/>
    <x v="2"/>
    <x v="3"/>
    <s v="Расходы на налоги"/>
    <x v="12"/>
    <m/>
    <m/>
    <n v="4905.7335950540783"/>
    <n v="3811.9989505549952"/>
    <n v="7531.511054463107"/>
    <n v="8132.0525949229032"/>
    <n v="6453.4380831167637"/>
    <n v="6290.9115968846245"/>
    <n v="8128.3356873794964"/>
    <n v="6311.4833715936384"/>
    <m/>
    <m/>
    <m/>
    <m/>
    <n v="51565.464933969612"/>
  </r>
  <r>
    <x v="1"/>
    <x v="0"/>
    <x v="5"/>
    <s v="Логистическая деятельность"/>
    <s v="Расходы на налоги"/>
    <s v="Львов"/>
    <x v="0"/>
    <x v="3"/>
    <s v="Расходы на налоги"/>
    <x v="12"/>
    <m/>
    <m/>
    <m/>
    <m/>
    <m/>
    <m/>
    <m/>
    <m/>
    <m/>
    <m/>
    <n v="5809.4204113311125"/>
    <n v="13496.891257250294"/>
    <n v="6624.36"/>
    <n v="6624.36"/>
    <n v="32555.031668581407"/>
  </r>
  <r>
    <x v="1"/>
    <x v="0"/>
    <x v="5"/>
    <s v="Логистическая деятельность"/>
    <s v="Расходы на налоги"/>
    <s v="Складская логистика"/>
    <x v="0"/>
    <x v="3"/>
    <s v="Расходы на налоги"/>
    <x v="12"/>
    <m/>
    <m/>
    <n v="18639.4193515066"/>
    <n v="14484.905432588954"/>
    <n v="30072.283366950869"/>
    <n v="37567.844270529371"/>
    <n v="32117.24186360999"/>
    <n v="33989.000413810078"/>
    <n v="35134.738591150213"/>
    <n v="32283.80857942814"/>
    <n v="27596.433462780729"/>
    <n v="26272.706861587994"/>
    <n v="25835.64"/>
    <n v="25835.64"/>
    <n v="339829.66219394293"/>
  </r>
  <r>
    <x v="1"/>
    <x v="0"/>
    <x v="5"/>
    <s v="Логистическая деятельность"/>
    <s v="Расходы на налоги"/>
    <s v="Транспортная логистика"/>
    <x v="2"/>
    <x v="3"/>
    <s v="Расходы на налоги"/>
    <x v="12"/>
    <m/>
    <m/>
    <m/>
    <n v="6814.8688968104243"/>
    <m/>
    <m/>
    <m/>
    <m/>
    <m/>
    <m/>
    <m/>
    <m/>
    <m/>
    <m/>
    <n v="6814.8688968104243"/>
  </r>
  <r>
    <x v="1"/>
    <x v="0"/>
    <x v="5"/>
    <s v="Логистическая деятельность"/>
    <s v="Расходы на налоги"/>
    <s v="Транспортная логистика"/>
    <x v="0"/>
    <x v="3"/>
    <s v="Расходы на налоги"/>
    <x v="12"/>
    <m/>
    <m/>
    <n v="8769.0332371819914"/>
    <m/>
    <n v="13003.76200119872"/>
    <n v="16874.197441576842"/>
    <n v="14591.137815473314"/>
    <n v="15216.540571304406"/>
    <n v="9283.4289159415894"/>
    <n v="13226.540030105474"/>
    <n v="10149.664322191888"/>
    <n v="11206.580155193713"/>
    <n v="11615.03"/>
    <n v="11615.03"/>
    <n v="135550.94449016795"/>
  </r>
  <r>
    <x v="1"/>
    <x v="0"/>
    <x v="5"/>
    <s v="Логистическая деятельность"/>
    <s v="Расходы на персонал"/>
    <s v="Львов"/>
    <x v="2"/>
    <x v="7"/>
    <s v="Расходы на персонал"/>
    <x v="29"/>
    <m/>
    <m/>
    <n v="800"/>
    <n v="800"/>
    <n v="800"/>
    <n v="800"/>
    <n v="800"/>
    <n v="800"/>
    <n v="800"/>
    <n v="800"/>
    <m/>
    <m/>
    <m/>
    <m/>
    <n v="6400"/>
  </r>
  <r>
    <x v="1"/>
    <x v="0"/>
    <x v="5"/>
    <s v="Логистическая деятельность"/>
    <s v="Расходы на персонал"/>
    <s v="Львов"/>
    <x v="2"/>
    <x v="7"/>
    <s v="Расходы на персонал"/>
    <x v="76"/>
    <m/>
    <m/>
    <m/>
    <m/>
    <m/>
    <n v="649.79999999999995"/>
    <m/>
    <m/>
    <m/>
    <m/>
    <m/>
    <m/>
    <m/>
    <m/>
    <n v="649.79999999999995"/>
  </r>
  <r>
    <x v="1"/>
    <x v="0"/>
    <x v="5"/>
    <s v="Логистическая деятельность"/>
    <s v="Расходы на персонал"/>
    <s v="Львов"/>
    <x v="0"/>
    <x v="7"/>
    <s v="Расходы на персонал"/>
    <x v="29"/>
    <m/>
    <m/>
    <m/>
    <m/>
    <m/>
    <m/>
    <m/>
    <m/>
    <m/>
    <m/>
    <n v="800"/>
    <n v="800"/>
    <n v="800"/>
    <n v="800"/>
    <n v="3200"/>
  </r>
  <r>
    <x v="1"/>
    <x v="0"/>
    <x v="5"/>
    <s v="Логистическая деятельность"/>
    <s v="Расходы на персонал"/>
    <s v="Складская логистика"/>
    <x v="0"/>
    <x v="7"/>
    <s v="Расходы на персонал"/>
    <x v="29"/>
    <m/>
    <m/>
    <m/>
    <m/>
    <m/>
    <n v="505.03"/>
    <m/>
    <m/>
    <m/>
    <m/>
    <m/>
    <m/>
    <m/>
    <m/>
    <n v="505.03"/>
  </r>
  <r>
    <x v="1"/>
    <x v="0"/>
    <x v="5"/>
    <s v="Логистическая деятельность"/>
    <s v="Расходы на персонал"/>
    <s v="Складская логистика"/>
    <x v="0"/>
    <x v="7"/>
    <s v="Расходы на персонал"/>
    <x v="45"/>
    <m/>
    <m/>
    <m/>
    <m/>
    <m/>
    <m/>
    <m/>
    <m/>
    <m/>
    <m/>
    <m/>
    <n v="1392"/>
    <n v="1000"/>
    <m/>
    <n v="2392"/>
  </r>
  <r>
    <x v="1"/>
    <x v="0"/>
    <x v="5"/>
    <s v="Логистическая деятельность"/>
    <s v="Расходы на персонал"/>
    <s v="Складская логистика"/>
    <x v="0"/>
    <x v="7"/>
    <s v="Расходы на персонал"/>
    <x v="76"/>
    <m/>
    <m/>
    <n v="214.5"/>
    <m/>
    <n v="283.26"/>
    <n v="283.27"/>
    <n v="185.59"/>
    <n v="400.49"/>
    <n v="2441.11"/>
    <n v="13057.11"/>
    <n v="336.34"/>
    <m/>
    <n v="4450"/>
    <n v="400"/>
    <n v="22051.670000000002"/>
  </r>
  <r>
    <x v="1"/>
    <x v="0"/>
    <x v="5"/>
    <s v="Логистическая деятельность"/>
    <s v="Расходы на персонал"/>
    <s v="Транспортная логистика"/>
    <x v="0"/>
    <x v="7"/>
    <s v="Расходы на персонал"/>
    <x v="45"/>
    <m/>
    <m/>
    <m/>
    <m/>
    <m/>
    <m/>
    <m/>
    <m/>
    <m/>
    <m/>
    <m/>
    <n v="160"/>
    <m/>
    <n v="1000"/>
    <n v="1160"/>
  </r>
  <r>
    <x v="1"/>
    <x v="0"/>
    <x v="5"/>
    <s v="Логистическая деятельность"/>
    <s v="Расходы на персонал"/>
    <s v="Транспортная логистика"/>
    <x v="0"/>
    <x v="7"/>
    <s v="Расходы на персонал"/>
    <x v="76"/>
    <m/>
    <m/>
    <m/>
    <m/>
    <m/>
    <m/>
    <m/>
    <n v="2262.4499999999998"/>
    <n v="208.98"/>
    <n v="1332.18"/>
    <m/>
    <m/>
    <m/>
    <m/>
    <n v="3803.6099999999997"/>
  </r>
  <r>
    <x v="1"/>
    <x v="0"/>
    <x v="5"/>
    <s v="Логистическая деятельность"/>
    <s v="Расходы на содержание автопарка"/>
    <s v="Внешняя логистика"/>
    <x v="2"/>
    <x v="10"/>
    <s v="Расходы на содержание автопарка"/>
    <x v="120"/>
    <m/>
    <m/>
    <m/>
    <m/>
    <m/>
    <n v="11900"/>
    <m/>
    <m/>
    <m/>
    <m/>
    <m/>
    <m/>
    <m/>
    <m/>
    <n v="11900"/>
  </r>
  <r>
    <x v="1"/>
    <x v="0"/>
    <x v="5"/>
    <s v="Логистическая деятельность"/>
    <s v="Расходы на содержание автопарка"/>
    <s v="Директор по логистике"/>
    <x v="0"/>
    <x v="10"/>
    <s v="Расходы на содержание автопарка"/>
    <x v="120"/>
    <m/>
    <m/>
    <m/>
    <m/>
    <n v="20710"/>
    <n v="1700"/>
    <m/>
    <m/>
    <m/>
    <m/>
    <m/>
    <m/>
    <m/>
    <m/>
    <n v="22410"/>
  </r>
  <r>
    <x v="1"/>
    <x v="0"/>
    <x v="5"/>
    <s v="Логистическая деятельность"/>
    <s v="Расходы на содержание автопарка"/>
    <s v="Львов"/>
    <x v="2"/>
    <x v="10"/>
    <s v="Ремонт и ТО транспорта"/>
    <x v="30"/>
    <m/>
    <m/>
    <n v="13224.28"/>
    <n v="23662.6"/>
    <n v="37474.879999999997"/>
    <n v="37563.980000000003"/>
    <n v="22798.78"/>
    <n v="27603.49"/>
    <n v="28999.4"/>
    <n v="23088.240000000002"/>
    <m/>
    <m/>
    <m/>
    <m/>
    <n v="214415.64999999997"/>
  </r>
  <r>
    <x v="1"/>
    <x v="0"/>
    <x v="5"/>
    <s v="Логистическая деятельность"/>
    <s v="Расходы на содержание автопарка"/>
    <s v="Львов"/>
    <x v="2"/>
    <x v="10"/>
    <s v="Ремонт и ТО транспорта"/>
    <x v="80"/>
    <m/>
    <m/>
    <n v="742"/>
    <n v="8733.57"/>
    <n v="8258.52"/>
    <n v="1094.06"/>
    <n v="23359.75"/>
    <n v="2917.08"/>
    <n v="1298.08"/>
    <m/>
    <m/>
    <m/>
    <m/>
    <m/>
    <n v="46403.060000000005"/>
  </r>
  <r>
    <x v="1"/>
    <x v="0"/>
    <x v="5"/>
    <s v="Логистическая деятельность"/>
    <s v="Расходы на содержание автопарка"/>
    <s v="Львов"/>
    <x v="0"/>
    <x v="10"/>
    <s v="Ремонт и ТО транспорта"/>
    <x v="30"/>
    <m/>
    <m/>
    <m/>
    <m/>
    <m/>
    <m/>
    <m/>
    <m/>
    <m/>
    <m/>
    <n v="15352.2"/>
    <n v="17346.189999999999"/>
    <n v="12000"/>
    <n v="15000"/>
    <n v="59698.39"/>
  </r>
  <r>
    <x v="1"/>
    <x v="0"/>
    <x v="5"/>
    <s v="Логистическая деятельность"/>
    <s v="Расходы на содержание автопарка"/>
    <s v="Транспортная логистика"/>
    <x v="0"/>
    <x v="10"/>
    <s v="Расходы на содержание автопарка"/>
    <x v="120"/>
    <m/>
    <m/>
    <m/>
    <m/>
    <n v="205.45"/>
    <n v="205.45"/>
    <m/>
    <n v="523.15"/>
    <n v="3414.36"/>
    <m/>
    <m/>
    <m/>
    <n v="400"/>
    <n v="1600"/>
    <n v="6348.41"/>
  </r>
  <r>
    <x v="1"/>
    <x v="0"/>
    <x v="5"/>
    <s v="Логистическая деятельность"/>
    <s v="Расходы на содержание автопарка"/>
    <s v="Транспортная логистика"/>
    <x v="0"/>
    <x v="10"/>
    <s v="Расходы на содержание автопарка"/>
    <x v="79"/>
    <m/>
    <m/>
    <m/>
    <m/>
    <n v="3647.92"/>
    <n v="968.48"/>
    <m/>
    <m/>
    <n v="1098.56"/>
    <n v="1166.96"/>
    <m/>
    <n v="1158.44"/>
    <m/>
    <m/>
    <n v="8040.3599999999988"/>
  </r>
  <r>
    <x v="1"/>
    <x v="0"/>
    <x v="5"/>
    <s v="Логистическая деятельность"/>
    <s v="Расходы на содержание автопарка"/>
    <s v="Транспортная логистика"/>
    <x v="0"/>
    <x v="10"/>
    <s v="Ремонт и ТО транспорта"/>
    <x v="30"/>
    <m/>
    <m/>
    <n v="21883.05"/>
    <n v="13424.18"/>
    <n v="26828.73"/>
    <n v="39985.35"/>
    <n v="29750.84"/>
    <n v="36659.93"/>
    <n v="31409.599999999999"/>
    <n v="16813.689999999999"/>
    <n v="14507.62"/>
    <n v="14369.67"/>
    <n v="53240"/>
    <n v="25000"/>
    <n v="323872.66000000003"/>
  </r>
  <r>
    <x v="1"/>
    <x v="0"/>
    <x v="5"/>
    <s v="Логистическая деятельность"/>
    <s v="Расходы на содержание автопарка"/>
    <s v="Транспортная логистика"/>
    <x v="0"/>
    <x v="10"/>
    <s v="Ремонт и ТО транспорта"/>
    <x v="80"/>
    <m/>
    <m/>
    <m/>
    <m/>
    <m/>
    <m/>
    <m/>
    <m/>
    <m/>
    <m/>
    <m/>
    <m/>
    <n v="2000"/>
    <m/>
    <n v="2000"/>
  </r>
  <r>
    <x v="1"/>
    <x v="0"/>
    <x v="5"/>
    <s v="Логистическая деятельность"/>
    <s v="Расходы на списание"/>
    <s v="Внешняя логистика"/>
    <x v="2"/>
    <x v="22"/>
    <s v="Расходы на списание"/>
    <x v="73"/>
    <m/>
    <m/>
    <m/>
    <m/>
    <m/>
    <m/>
    <m/>
    <n v="892.26"/>
    <n v="224.49"/>
    <m/>
    <m/>
    <m/>
    <m/>
    <m/>
    <n v="1116.75"/>
  </r>
  <r>
    <x v="1"/>
    <x v="0"/>
    <x v="5"/>
    <s v="Логистическая деятельность"/>
    <s v="Расходы на списание"/>
    <s v="Внешняя логистика"/>
    <x v="2"/>
    <x v="22"/>
    <s v="Расходы на списание"/>
    <x v="121"/>
    <m/>
    <m/>
    <m/>
    <m/>
    <m/>
    <m/>
    <n v="4680.87"/>
    <m/>
    <m/>
    <m/>
    <m/>
    <m/>
    <m/>
    <m/>
    <n v="4680.87"/>
  </r>
  <r>
    <x v="1"/>
    <x v="0"/>
    <x v="5"/>
    <s v="Логистическая деятельность"/>
    <s v="Расходы на списание"/>
    <s v="Львов"/>
    <x v="0"/>
    <x v="22"/>
    <s v="Расходы на списание"/>
    <x v="73"/>
    <m/>
    <m/>
    <m/>
    <m/>
    <m/>
    <m/>
    <m/>
    <m/>
    <m/>
    <m/>
    <m/>
    <m/>
    <n v="200"/>
    <n v="200"/>
    <n v="400"/>
  </r>
  <r>
    <x v="1"/>
    <x v="0"/>
    <x v="5"/>
    <s v="Логистическая деятельность"/>
    <s v="Расходы на списание"/>
    <s v="Складская логистика"/>
    <x v="0"/>
    <x v="22"/>
    <s v="Расходы на списание"/>
    <x v="73"/>
    <m/>
    <m/>
    <m/>
    <m/>
    <n v="9448.7800000000007"/>
    <m/>
    <m/>
    <m/>
    <n v="11423.02"/>
    <n v="8230.2800000000007"/>
    <m/>
    <n v="102.57"/>
    <m/>
    <m/>
    <n v="29204.65"/>
  </r>
  <r>
    <x v="1"/>
    <x v="0"/>
    <x v="5"/>
    <s v="Логистическая деятельность"/>
    <s v="Расходы на списание"/>
    <s v="Складская логистика"/>
    <x v="0"/>
    <x v="22"/>
    <s v="Расходы на списание"/>
    <x v="77"/>
    <m/>
    <m/>
    <m/>
    <m/>
    <n v="2817.7"/>
    <n v="1933.93"/>
    <n v="5341.18"/>
    <n v="11639.63"/>
    <n v="11134.4"/>
    <n v="80.52"/>
    <n v="101.27"/>
    <n v="93.18"/>
    <m/>
    <m/>
    <n v="33141.81"/>
  </r>
  <r>
    <x v="1"/>
    <x v="0"/>
    <x v="5"/>
    <s v="Логистическая деятельность"/>
    <s v="Расходы на списание"/>
    <s v="Складская логистика"/>
    <x v="0"/>
    <x v="22"/>
    <s v="Расходы на списание"/>
    <x v="121"/>
    <m/>
    <m/>
    <m/>
    <m/>
    <m/>
    <m/>
    <n v="1260.29"/>
    <m/>
    <m/>
    <m/>
    <m/>
    <m/>
    <m/>
    <m/>
    <n v="1260.29"/>
  </r>
  <r>
    <x v="1"/>
    <x v="0"/>
    <x v="5"/>
    <s v="Логистическая деятельность"/>
    <s v="Расходы на услуги вет. службы"/>
    <s v="Внешняя логистика"/>
    <x v="2"/>
    <x v="21"/>
    <s v="Расходы на услуги вет. службы"/>
    <x v="71"/>
    <m/>
    <m/>
    <n v="14892.25"/>
    <n v="15014.41"/>
    <n v="6937.19"/>
    <n v="14966.52"/>
    <n v="20511.25"/>
    <n v="21546.26"/>
    <n v="15864"/>
    <n v="10322.459999999999"/>
    <m/>
    <m/>
    <m/>
    <m/>
    <n v="120054.34"/>
  </r>
  <r>
    <x v="1"/>
    <x v="0"/>
    <x v="5"/>
    <s v="Логистическая деятельность"/>
    <s v="Расходы на услуги вет. службы"/>
    <s v="Внешняя логистика"/>
    <x v="0"/>
    <x v="21"/>
    <s v="Расходы на услуги вет. службы"/>
    <x v="71"/>
    <m/>
    <m/>
    <m/>
    <m/>
    <m/>
    <m/>
    <m/>
    <m/>
    <m/>
    <m/>
    <n v="18117.36"/>
    <n v="20765.52"/>
    <n v="20000"/>
    <n v="20000"/>
    <n v="78882.880000000005"/>
  </r>
  <r>
    <x v="1"/>
    <x v="0"/>
    <x v="5"/>
    <s v="Логистическая деятельность"/>
    <s v="Расходы на услуги вет. службы"/>
    <s v="Львов"/>
    <x v="2"/>
    <x v="21"/>
    <s v="Расходы на услуги вет. службы"/>
    <x v="71"/>
    <m/>
    <m/>
    <n v="8986"/>
    <n v="2450"/>
    <n v="2450"/>
    <n v="1466.08"/>
    <n v="1199.52"/>
    <n v="1266.1600000000001"/>
    <n v="3341.58"/>
    <n v="1399.44"/>
    <m/>
    <m/>
    <m/>
    <m/>
    <n v="22558.779999999995"/>
  </r>
  <r>
    <x v="1"/>
    <x v="0"/>
    <x v="5"/>
    <s v="Логистическая деятельность"/>
    <s v="Расходы на услуги вет. службы"/>
    <s v="Львов"/>
    <x v="0"/>
    <x v="21"/>
    <s v="Расходы на услуги вет. службы"/>
    <x v="71"/>
    <m/>
    <m/>
    <m/>
    <m/>
    <m/>
    <m/>
    <m/>
    <m/>
    <m/>
    <m/>
    <n v="3735.44"/>
    <n v="1532.72"/>
    <n v="1762"/>
    <n v="1500"/>
    <n v="8530.16"/>
  </r>
  <r>
    <x v="1"/>
    <x v="0"/>
    <x v="5"/>
    <s v="Логистическая деятельность"/>
    <s v="Расходы на услуги сторонних организаций"/>
    <s v="Внешняя логистика"/>
    <x v="2"/>
    <x v="8"/>
    <s v="Расходы на услуги сторонних организаций"/>
    <x v="47"/>
    <m/>
    <m/>
    <n v="10361.049999999999"/>
    <n v="8468.91"/>
    <n v="4447.97"/>
    <n v="11639.74"/>
    <n v="13506.86"/>
    <n v="54544.31"/>
    <n v="23338.240000000002"/>
    <n v="53967.8"/>
    <m/>
    <m/>
    <m/>
    <m/>
    <n v="180274.88"/>
  </r>
  <r>
    <x v="1"/>
    <x v="0"/>
    <x v="5"/>
    <s v="Логистическая деятельность"/>
    <s v="Расходы на услуги сторонних организаций"/>
    <s v="Внешняя логистика"/>
    <x v="2"/>
    <x v="8"/>
    <s v="Расходы на услуги сторонних организаций"/>
    <x v="112"/>
    <m/>
    <m/>
    <m/>
    <n v="2149.0100000000002"/>
    <n v="2351.46"/>
    <m/>
    <m/>
    <m/>
    <n v="21891.37"/>
    <n v="3585.34"/>
    <m/>
    <m/>
    <m/>
    <m/>
    <n v="29977.18"/>
  </r>
  <r>
    <x v="1"/>
    <x v="0"/>
    <x v="5"/>
    <s v="Логистическая деятельность"/>
    <s v="Расходы на услуги сторонних организаций"/>
    <s v="Внешняя логистика"/>
    <x v="2"/>
    <x v="8"/>
    <s v="Расходы на услуги сторонних организаций"/>
    <x v="32"/>
    <m/>
    <m/>
    <m/>
    <m/>
    <m/>
    <m/>
    <m/>
    <m/>
    <m/>
    <n v="1998.62"/>
    <m/>
    <m/>
    <m/>
    <m/>
    <n v="1998.62"/>
  </r>
  <r>
    <x v="1"/>
    <x v="0"/>
    <x v="5"/>
    <s v="Логистическая деятельность"/>
    <s v="Расходы на услуги сторонних организаций"/>
    <s v="Внешняя логистика"/>
    <x v="0"/>
    <x v="8"/>
    <s v="Расходы на услуги сторонних организаций"/>
    <x v="47"/>
    <m/>
    <m/>
    <m/>
    <m/>
    <m/>
    <m/>
    <m/>
    <m/>
    <m/>
    <m/>
    <n v="32841.5"/>
    <n v="47177.65"/>
    <n v="2000"/>
    <n v="3500"/>
    <n v="85519.15"/>
  </r>
  <r>
    <x v="1"/>
    <x v="0"/>
    <x v="5"/>
    <s v="Логистическая деятельность"/>
    <s v="Расходы на услуги сторонних организаций"/>
    <s v="Директор по логистике"/>
    <x v="0"/>
    <x v="8"/>
    <s v="Расходы на услуги сторонних организаций"/>
    <x v="47"/>
    <m/>
    <m/>
    <m/>
    <m/>
    <m/>
    <m/>
    <n v="360"/>
    <n v="120"/>
    <n v="272"/>
    <m/>
    <m/>
    <m/>
    <m/>
    <m/>
    <n v="752"/>
  </r>
  <r>
    <x v="1"/>
    <x v="0"/>
    <x v="5"/>
    <s v="Логистическая деятельность"/>
    <s v="Расходы на услуги сторонних организаций"/>
    <s v="Директор по логистике"/>
    <x v="0"/>
    <x v="8"/>
    <s v="Расходы на услуги сторонних организаций"/>
    <x v="32"/>
    <m/>
    <m/>
    <m/>
    <m/>
    <m/>
    <m/>
    <m/>
    <m/>
    <n v="20"/>
    <m/>
    <m/>
    <m/>
    <m/>
    <m/>
    <n v="20"/>
  </r>
  <r>
    <x v="1"/>
    <x v="0"/>
    <x v="5"/>
    <s v="Логистическая деятельность"/>
    <s v="Расходы на услуги сторонних организаций"/>
    <s v="Львов"/>
    <x v="2"/>
    <x v="8"/>
    <s v="Расходы на услуги сторонних организаций"/>
    <x v="47"/>
    <m/>
    <m/>
    <n v="2024.44"/>
    <n v="2685"/>
    <n v="2743"/>
    <n v="240"/>
    <n v="587.73"/>
    <n v="612"/>
    <n v="574"/>
    <n v="600.99"/>
    <m/>
    <m/>
    <m/>
    <m/>
    <n v="10067.16"/>
  </r>
  <r>
    <x v="1"/>
    <x v="0"/>
    <x v="5"/>
    <s v="Логистическая деятельность"/>
    <s v="Расходы на услуги сторонних организаций"/>
    <s v="Львов"/>
    <x v="2"/>
    <x v="8"/>
    <s v="Расходы на услуги сторонних организаций"/>
    <x v="32"/>
    <m/>
    <m/>
    <n v="100"/>
    <n v="258"/>
    <n v="84.66"/>
    <m/>
    <n v="497"/>
    <n v="373.6"/>
    <n v="491.06"/>
    <m/>
    <m/>
    <m/>
    <m/>
    <m/>
    <n v="1804.32"/>
  </r>
  <r>
    <x v="1"/>
    <x v="0"/>
    <x v="5"/>
    <s v="Логистическая деятельность"/>
    <s v="Расходы на услуги сторонних организаций"/>
    <s v="Львов"/>
    <x v="0"/>
    <x v="8"/>
    <s v="Расходы на услуги сторонних организаций"/>
    <x v="47"/>
    <m/>
    <m/>
    <m/>
    <m/>
    <m/>
    <m/>
    <m/>
    <m/>
    <m/>
    <m/>
    <n v="771"/>
    <n v="2535"/>
    <n v="600"/>
    <n v="1000"/>
    <n v="4906"/>
  </r>
  <r>
    <x v="1"/>
    <x v="0"/>
    <x v="5"/>
    <s v="Логистическая деятельность"/>
    <s v="Расходы на услуги сторонних организаций"/>
    <s v="Львов"/>
    <x v="0"/>
    <x v="8"/>
    <s v="Расходы на услуги сторонних организаций"/>
    <x v="32"/>
    <m/>
    <m/>
    <m/>
    <m/>
    <m/>
    <m/>
    <m/>
    <m/>
    <m/>
    <m/>
    <n v="298.88"/>
    <n v="116"/>
    <n v="150"/>
    <n v="150"/>
    <n v="714.88"/>
  </r>
  <r>
    <x v="1"/>
    <x v="0"/>
    <x v="5"/>
    <s v="Логистическая деятельность"/>
    <s v="Расходы на услуги сторонних организаций"/>
    <s v="Складская логистика"/>
    <x v="0"/>
    <x v="8"/>
    <s v="Расходы на услуги сторонних организаций"/>
    <x v="27"/>
    <m/>
    <m/>
    <n v="85.98"/>
    <m/>
    <n v="251.21"/>
    <m/>
    <m/>
    <m/>
    <m/>
    <m/>
    <n v="42.64"/>
    <m/>
    <m/>
    <m/>
    <n v="379.83"/>
  </r>
  <r>
    <x v="1"/>
    <x v="0"/>
    <x v="5"/>
    <s v="Логистическая деятельность"/>
    <s v="Расходы на услуги сторонних организаций"/>
    <s v="Складская логистика"/>
    <x v="0"/>
    <x v="8"/>
    <s v="Расходы на услуги сторонних организаций"/>
    <x v="47"/>
    <m/>
    <m/>
    <n v="1311.26"/>
    <m/>
    <n v="624"/>
    <n v="37"/>
    <m/>
    <m/>
    <m/>
    <m/>
    <n v="4512"/>
    <m/>
    <m/>
    <m/>
    <n v="6484.26"/>
  </r>
  <r>
    <x v="1"/>
    <x v="0"/>
    <x v="5"/>
    <s v="Логистическая деятельность"/>
    <s v="Расходы на услуги сторонних организаций"/>
    <s v="Складская логистика"/>
    <x v="0"/>
    <x v="8"/>
    <s v="Расходы на услуги сторонних организаций"/>
    <x v="32"/>
    <m/>
    <m/>
    <n v="6199.75"/>
    <n v="4368.2"/>
    <n v="5947.34"/>
    <n v="4492.13"/>
    <n v="9076.8700000000008"/>
    <n v="8119.72"/>
    <n v="3472.13"/>
    <n v="7777.77"/>
    <n v="4950.82"/>
    <n v="3469.86"/>
    <n v="4500"/>
    <n v="5000"/>
    <n v="67374.59"/>
  </r>
  <r>
    <x v="1"/>
    <x v="0"/>
    <x v="5"/>
    <s v="Логистическая деятельность"/>
    <s v="Расходы на услуги сторонних организаций"/>
    <s v="Транспортная логистика"/>
    <x v="0"/>
    <x v="8"/>
    <s v="Расходы на услуги сторонних организаций"/>
    <x v="47"/>
    <m/>
    <m/>
    <n v="3304.32"/>
    <m/>
    <m/>
    <m/>
    <n v="861.28"/>
    <n v="2050"/>
    <m/>
    <n v="599.84"/>
    <m/>
    <m/>
    <m/>
    <n v="230"/>
    <n v="7045.4400000000005"/>
  </r>
  <r>
    <x v="1"/>
    <x v="0"/>
    <x v="5"/>
    <s v="Логистическая деятельность"/>
    <s v="Расходы на услуги сторонних организаций"/>
    <s v="Транспортная логистика"/>
    <x v="0"/>
    <x v="8"/>
    <s v="Расходы на услуги сторонних организаций"/>
    <x v="32"/>
    <m/>
    <m/>
    <m/>
    <n v="105.42"/>
    <n v="30"/>
    <m/>
    <m/>
    <n v="202.62"/>
    <n v="377.2"/>
    <m/>
    <n v="282.26"/>
    <n v="151.21"/>
    <n v="150"/>
    <n v="150"/>
    <n v="1448.71"/>
  </r>
  <r>
    <x v="1"/>
    <x v="0"/>
    <x v="5"/>
    <s v="Логистическая деятельность"/>
    <s v="Услуги связи"/>
    <s v="Белая Церковь"/>
    <x v="2"/>
    <x v="4"/>
    <s v="Услуги связи"/>
    <x v="13"/>
    <m/>
    <m/>
    <n v="144.69"/>
    <m/>
    <m/>
    <m/>
    <m/>
    <m/>
    <m/>
    <m/>
    <m/>
    <m/>
    <m/>
    <m/>
    <n v="144.69"/>
  </r>
  <r>
    <x v="1"/>
    <x v="0"/>
    <x v="5"/>
    <s v="Логистическая деятельность"/>
    <s v="Услуги связи"/>
    <s v="Внешняя логистика"/>
    <x v="2"/>
    <x v="4"/>
    <s v="Услуги связи"/>
    <x v="13"/>
    <m/>
    <m/>
    <n v="1923.64"/>
    <n v="2019.64"/>
    <n v="2118.8200000000002"/>
    <n v="1481.28"/>
    <n v="2185.44"/>
    <n v="2142.66"/>
    <n v="1916.82"/>
    <n v="2362.96"/>
    <m/>
    <m/>
    <m/>
    <m/>
    <n v="16151.259999999998"/>
  </r>
  <r>
    <x v="1"/>
    <x v="0"/>
    <x v="5"/>
    <s v="Логистическая деятельность"/>
    <s v="Услуги связи"/>
    <s v="Внешняя логистика"/>
    <x v="0"/>
    <x v="4"/>
    <s v="Услуги связи"/>
    <x v="33"/>
    <m/>
    <m/>
    <m/>
    <m/>
    <m/>
    <m/>
    <m/>
    <m/>
    <m/>
    <m/>
    <m/>
    <n v="700"/>
    <m/>
    <m/>
    <n v="700"/>
  </r>
  <r>
    <x v="1"/>
    <x v="0"/>
    <x v="5"/>
    <s v="Логистическая деятельность"/>
    <s v="Услуги связи"/>
    <s v="Внешняя логистика"/>
    <x v="0"/>
    <x v="4"/>
    <s v="Услуги связи"/>
    <x v="13"/>
    <m/>
    <m/>
    <m/>
    <m/>
    <m/>
    <m/>
    <m/>
    <m/>
    <m/>
    <m/>
    <n v="2106.98"/>
    <n v="2147.9699999999998"/>
    <n v="1229"/>
    <n v="1394"/>
    <n v="6877.95"/>
  </r>
  <r>
    <x v="1"/>
    <x v="0"/>
    <x v="5"/>
    <s v="Логистическая деятельность"/>
    <s v="Услуги связи"/>
    <s v="Директор по логистике"/>
    <x v="0"/>
    <x v="4"/>
    <s v="Услуги связи"/>
    <x v="13"/>
    <m/>
    <m/>
    <m/>
    <m/>
    <m/>
    <m/>
    <m/>
    <m/>
    <m/>
    <m/>
    <m/>
    <m/>
    <n v="490"/>
    <n v="490"/>
    <n v="980"/>
  </r>
  <r>
    <x v="1"/>
    <x v="0"/>
    <x v="5"/>
    <s v="Логистическая деятельность"/>
    <s v="Услуги связи"/>
    <s v="Киев Розница"/>
    <x v="2"/>
    <x v="4"/>
    <s v="Услуги связи"/>
    <x v="13"/>
    <m/>
    <m/>
    <n v="2534.85"/>
    <n v="1232.01"/>
    <n v="1331.15"/>
    <n v="1383.18"/>
    <n v="1508.77"/>
    <n v="1579.29"/>
    <n v="1358.69"/>
    <m/>
    <m/>
    <m/>
    <m/>
    <m/>
    <n v="10927.94"/>
  </r>
  <r>
    <x v="1"/>
    <x v="0"/>
    <x v="5"/>
    <s v="Логистическая деятельность"/>
    <s v="Услуги связи"/>
    <s v="Киев Розница"/>
    <x v="0"/>
    <x v="4"/>
    <s v="Услуги связи"/>
    <x v="13"/>
    <m/>
    <m/>
    <m/>
    <m/>
    <m/>
    <m/>
    <m/>
    <m/>
    <m/>
    <n v="1097.8"/>
    <m/>
    <m/>
    <m/>
    <m/>
    <n v="1097.8"/>
  </r>
  <r>
    <x v="1"/>
    <x v="0"/>
    <x v="5"/>
    <s v="Логистическая деятельность"/>
    <s v="Услуги связи"/>
    <s v="Львов"/>
    <x v="2"/>
    <x v="4"/>
    <s v="Услуги связи"/>
    <x v="33"/>
    <m/>
    <m/>
    <n v="350"/>
    <n v="350"/>
    <n v="350"/>
    <n v="470"/>
    <n v="415.01"/>
    <n v="418.37"/>
    <n v="350"/>
    <n v="350"/>
    <m/>
    <m/>
    <m/>
    <m/>
    <n v="3053.38"/>
  </r>
  <r>
    <x v="1"/>
    <x v="0"/>
    <x v="5"/>
    <s v="Логистическая деятельность"/>
    <s v="Услуги связи"/>
    <s v="Львов"/>
    <x v="2"/>
    <x v="4"/>
    <s v="Услуги связи"/>
    <x v="13"/>
    <m/>
    <m/>
    <n v="778.81"/>
    <n v="503.01"/>
    <n v="578.08000000000004"/>
    <n v="571.92999999999995"/>
    <n v="438.34"/>
    <n v="429.04"/>
    <n v="474.05"/>
    <n v="561.02"/>
    <m/>
    <m/>
    <m/>
    <m/>
    <n v="4334.2800000000007"/>
  </r>
  <r>
    <x v="1"/>
    <x v="0"/>
    <x v="5"/>
    <s v="Логистическая деятельность"/>
    <s v="Услуги связи"/>
    <s v="Львов"/>
    <x v="0"/>
    <x v="4"/>
    <s v="Услуги связи"/>
    <x v="33"/>
    <m/>
    <m/>
    <m/>
    <m/>
    <m/>
    <m/>
    <m/>
    <m/>
    <m/>
    <m/>
    <n v="350"/>
    <m/>
    <n v="400"/>
    <n v="400"/>
    <n v="1150"/>
  </r>
  <r>
    <x v="1"/>
    <x v="0"/>
    <x v="5"/>
    <s v="Логистическая деятельность"/>
    <s v="Услуги связи"/>
    <s v="Львов"/>
    <x v="0"/>
    <x v="4"/>
    <s v="Услуги связи"/>
    <x v="13"/>
    <m/>
    <m/>
    <m/>
    <m/>
    <m/>
    <m/>
    <m/>
    <m/>
    <m/>
    <m/>
    <n v="666.41"/>
    <n v="500.56"/>
    <n v="281"/>
    <n v="281"/>
    <n v="1728.97"/>
  </r>
  <r>
    <x v="1"/>
    <x v="0"/>
    <x v="5"/>
    <s v="Логистическая деятельность"/>
    <s v="Услуги связи"/>
    <s v="Черкассы"/>
    <x v="2"/>
    <x v="4"/>
    <s v="Услуги связи"/>
    <x v="13"/>
    <m/>
    <m/>
    <n v="144.69"/>
    <n v="145.80000000000001"/>
    <n v="151.83000000000001"/>
    <n v="147.19"/>
    <n v="145.29"/>
    <n v="145.08000000000001"/>
    <n v="145.72999999999999"/>
    <m/>
    <m/>
    <m/>
    <m/>
    <m/>
    <n v="1025.6099999999999"/>
  </r>
  <r>
    <x v="1"/>
    <x v="0"/>
    <x v="5"/>
    <s v="Логистическая деятельность"/>
    <s v="Услуги связи"/>
    <s v="Черкассы"/>
    <x v="0"/>
    <x v="4"/>
    <s v="Услуги связи"/>
    <x v="13"/>
    <m/>
    <m/>
    <m/>
    <m/>
    <m/>
    <m/>
    <m/>
    <m/>
    <m/>
    <n v="130.57"/>
    <m/>
    <m/>
    <m/>
    <m/>
    <n v="130.57"/>
  </r>
  <r>
    <x v="1"/>
    <x v="0"/>
    <x v="5"/>
    <s v="Продажи"/>
    <s v="Расходы на списание"/>
    <s v="Складская логистика"/>
    <x v="0"/>
    <x v="22"/>
    <s v="Расходы на списание"/>
    <x v="73"/>
    <m/>
    <m/>
    <m/>
    <m/>
    <m/>
    <m/>
    <m/>
    <n v="52770.85"/>
    <m/>
    <m/>
    <m/>
    <m/>
    <m/>
    <m/>
    <n v="52770.85"/>
  </r>
  <r>
    <x v="1"/>
    <x v="0"/>
    <x v="5"/>
    <s v="Расходы на маркетинг"/>
    <s v="Маркетинговые исследования"/>
    <s v="Директор по логистике"/>
    <x v="0"/>
    <x v="2"/>
    <s v="Маркетинговые исследования"/>
    <x v="3"/>
    <m/>
    <m/>
    <m/>
    <m/>
    <m/>
    <m/>
    <m/>
    <m/>
    <m/>
    <m/>
    <n v="2000"/>
    <m/>
    <m/>
    <m/>
    <n v="2000"/>
  </r>
  <r>
    <x v="1"/>
    <x v="0"/>
    <x v="1"/>
    <s v="Продажи"/>
    <s v="Аренда"/>
    <s v="Днепропетровск"/>
    <x v="2"/>
    <x v="9"/>
    <s v="Аренда"/>
    <x v="34"/>
    <m/>
    <m/>
    <n v="4472.16"/>
    <n v="4472.16"/>
    <n v="4472.16"/>
    <n v="4472.16"/>
    <n v="4472.16"/>
    <m/>
    <n v="4472.16"/>
    <n v="8944.32"/>
    <n v="4472.16"/>
    <n v="4472.16"/>
    <n v="4557"/>
    <n v="4557"/>
    <n v="53835.600000000006"/>
  </r>
  <r>
    <x v="1"/>
    <x v="0"/>
    <x v="1"/>
    <s v="Продажи"/>
    <s v="Аренда"/>
    <s v="Днепропетровск"/>
    <x v="2"/>
    <x v="9"/>
    <s v="Аренда"/>
    <x v="28"/>
    <m/>
    <m/>
    <n v="2222.15"/>
    <n v="2179.6999999999998"/>
    <n v="2206.2800000000002"/>
    <n v="2256.3000000000002"/>
    <n v="2296.3000000000002"/>
    <n v="111.75"/>
    <n v="2296.3000000000002"/>
    <n v="4458.92"/>
    <n v="2268.48"/>
    <n v="2287.0700000000002"/>
    <n v="2365"/>
    <n v="2365"/>
    <n v="27313.249999999996"/>
  </r>
  <r>
    <x v="1"/>
    <x v="0"/>
    <x v="1"/>
    <s v="Продажи"/>
    <s v="Аренда"/>
    <s v="Донецк"/>
    <x v="2"/>
    <x v="9"/>
    <s v="Аренда"/>
    <x v="28"/>
    <m/>
    <m/>
    <m/>
    <n v="1166.42"/>
    <n v="634.74"/>
    <n v="471"/>
    <n v="632.87"/>
    <n v="615.1"/>
    <n v="471"/>
    <m/>
    <n v="1697.99"/>
    <n v="1512.47"/>
    <n v="2000"/>
    <n v="2000"/>
    <n v="11201.59"/>
  </r>
  <r>
    <x v="1"/>
    <x v="0"/>
    <x v="1"/>
    <s v="Продажи"/>
    <s v="Аренда"/>
    <s v="Киев"/>
    <x v="2"/>
    <x v="9"/>
    <s v="Аренда"/>
    <x v="34"/>
    <m/>
    <m/>
    <n v="2825"/>
    <n v="2825"/>
    <n v="2825"/>
    <n v="7825"/>
    <m/>
    <m/>
    <m/>
    <m/>
    <m/>
    <m/>
    <m/>
    <m/>
    <n v="16300"/>
  </r>
  <r>
    <x v="1"/>
    <x v="0"/>
    <x v="1"/>
    <s v="Продажи"/>
    <s v="Аренда"/>
    <s v="Киев"/>
    <x v="2"/>
    <x v="9"/>
    <s v="Аренда"/>
    <x v="28"/>
    <m/>
    <m/>
    <m/>
    <m/>
    <m/>
    <m/>
    <n v="2825"/>
    <m/>
    <m/>
    <m/>
    <m/>
    <m/>
    <m/>
    <m/>
    <n v="2825"/>
  </r>
  <r>
    <x v="1"/>
    <x v="0"/>
    <x v="1"/>
    <s v="Продажи"/>
    <s v="Аренда"/>
    <s v="Львов"/>
    <x v="2"/>
    <x v="9"/>
    <s v="Аренда"/>
    <x v="34"/>
    <m/>
    <m/>
    <n v="5000"/>
    <n v="5000"/>
    <n v="5000"/>
    <m/>
    <n v="5000"/>
    <n v="5000"/>
    <n v="5000"/>
    <m/>
    <m/>
    <m/>
    <m/>
    <m/>
    <n v="30000"/>
  </r>
  <r>
    <x v="1"/>
    <x v="0"/>
    <x v="1"/>
    <s v="Продажи"/>
    <s v="Аренда"/>
    <s v="Львов"/>
    <x v="0"/>
    <x v="9"/>
    <s v="Аренда"/>
    <x v="34"/>
    <m/>
    <m/>
    <m/>
    <m/>
    <m/>
    <m/>
    <m/>
    <m/>
    <m/>
    <m/>
    <m/>
    <n v="5000"/>
    <m/>
    <m/>
    <n v="5000"/>
  </r>
  <r>
    <x v="1"/>
    <x v="0"/>
    <x v="1"/>
    <s v="Продажи"/>
    <s v="Аренда"/>
    <s v="Львов сети"/>
    <x v="2"/>
    <x v="9"/>
    <s v="Аренда"/>
    <x v="34"/>
    <m/>
    <m/>
    <m/>
    <m/>
    <m/>
    <m/>
    <m/>
    <m/>
    <m/>
    <m/>
    <m/>
    <m/>
    <n v="5000"/>
    <n v="5000"/>
    <n v="10000"/>
  </r>
  <r>
    <x v="1"/>
    <x v="0"/>
    <x v="1"/>
    <s v="Продажи"/>
    <s v="Аренда"/>
    <s v="Национальные сети"/>
    <x v="2"/>
    <x v="9"/>
    <s v="Аренда"/>
    <x v="34"/>
    <m/>
    <m/>
    <m/>
    <m/>
    <m/>
    <m/>
    <m/>
    <m/>
    <m/>
    <n v="5000"/>
    <n v="5000"/>
    <m/>
    <m/>
    <m/>
    <n v="10000"/>
  </r>
  <r>
    <x v="1"/>
    <x v="0"/>
    <x v="1"/>
    <s v="Продажи"/>
    <s v="Зарплата"/>
    <s v="Дистрибьюторы"/>
    <x v="1"/>
    <x v="0"/>
    <s v="Зарплата"/>
    <x v="0"/>
    <m/>
    <m/>
    <n v="151158.17000000001"/>
    <n v="137882"/>
    <n v="137917.71"/>
    <n v="176982"/>
    <n v="184509"/>
    <n v="180448"/>
    <n v="172069.72"/>
    <n v="167796"/>
    <n v="141039"/>
    <n v="165179"/>
    <n v="176680"/>
    <n v="176680"/>
    <n v="1968340.6"/>
  </r>
  <r>
    <x v="1"/>
    <x v="0"/>
    <x v="1"/>
    <s v="Продажи"/>
    <s v="Зарплата"/>
    <s v="Днепропетровск"/>
    <x v="2"/>
    <x v="0"/>
    <s v="Зарплата"/>
    <x v="0"/>
    <m/>
    <m/>
    <n v="47389.45"/>
    <n v="52292.86"/>
    <n v="58098.559999999998"/>
    <n v="64740.7"/>
    <n v="60921.13"/>
    <n v="70661.179999999993"/>
    <n v="64757.49"/>
    <n v="68082"/>
    <n v="69984"/>
    <n v="67581.8"/>
    <n v="69500"/>
    <n v="69500"/>
    <n v="763509.17"/>
  </r>
  <r>
    <x v="1"/>
    <x v="0"/>
    <x v="1"/>
    <s v="Продажи"/>
    <s v="Зарплата"/>
    <s v="Донецк"/>
    <x v="2"/>
    <x v="0"/>
    <s v="Зарплата"/>
    <x v="0"/>
    <m/>
    <m/>
    <n v="30289.46"/>
    <n v="32919"/>
    <n v="39645"/>
    <n v="46180.53"/>
    <n v="41993.74"/>
    <n v="51200.26"/>
    <n v="50307.03"/>
    <n v="51782.53"/>
    <n v="48271"/>
    <n v="51932.97"/>
    <n v="54100"/>
    <n v="54100"/>
    <n v="552721.52"/>
  </r>
  <r>
    <x v="1"/>
    <x v="0"/>
    <x v="1"/>
    <s v="Продажи"/>
    <s v="Зарплата"/>
    <s v="Киев"/>
    <x v="2"/>
    <x v="0"/>
    <s v="Зарплата"/>
    <x v="0"/>
    <m/>
    <m/>
    <n v="147937.54"/>
    <n v="169017.76"/>
    <n v="209212.4"/>
    <n v="214178.54"/>
    <n v="216272.96"/>
    <n v="229263.02"/>
    <n v="210209.34"/>
    <n v="229702.01"/>
    <n v="239075.91"/>
    <n v="226029.54"/>
    <n v="233110"/>
    <n v="233110"/>
    <n v="2557119.02"/>
  </r>
  <r>
    <x v="1"/>
    <x v="0"/>
    <x v="1"/>
    <s v="Продажи"/>
    <s v="Зарплата"/>
    <s v="Львов"/>
    <x v="2"/>
    <x v="0"/>
    <s v="Зарплата"/>
    <x v="0"/>
    <m/>
    <m/>
    <n v="38778"/>
    <n v="52877"/>
    <n v="54078.42"/>
    <n v="50825.36"/>
    <n v="60500"/>
    <n v="61581"/>
    <n v="59860.24"/>
    <n v="58433"/>
    <n v="57908.22"/>
    <m/>
    <m/>
    <m/>
    <n v="494841.24"/>
  </r>
  <r>
    <x v="1"/>
    <x v="0"/>
    <x v="1"/>
    <s v="Продажи"/>
    <s v="Зарплата"/>
    <s v="Львов"/>
    <x v="0"/>
    <x v="0"/>
    <s v="Зарплата"/>
    <x v="0"/>
    <m/>
    <m/>
    <m/>
    <m/>
    <m/>
    <m/>
    <m/>
    <m/>
    <m/>
    <m/>
    <m/>
    <n v="57761"/>
    <m/>
    <m/>
    <n v="57761"/>
  </r>
  <r>
    <x v="1"/>
    <x v="0"/>
    <x v="1"/>
    <s v="Продажи"/>
    <s v="Зарплата"/>
    <s v="Львов сети"/>
    <x v="2"/>
    <x v="0"/>
    <s v="Зарплата"/>
    <x v="0"/>
    <m/>
    <m/>
    <m/>
    <m/>
    <m/>
    <m/>
    <m/>
    <m/>
    <m/>
    <m/>
    <m/>
    <m/>
    <n v="61800"/>
    <n v="61800"/>
    <n v="123600"/>
  </r>
  <r>
    <x v="1"/>
    <x v="0"/>
    <x v="1"/>
    <s v="Продажи"/>
    <s v="Зарплата"/>
    <s v="Национальные сети"/>
    <x v="2"/>
    <x v="0"/>
    <s v="Зарплата"/>
    <x v="0"/>
    <m/>
    <m/>
    <n v="71074"/>
    <n v="84935"/>
    <n v="87300"/>
    <n v="92300"/>
    <n v="94800"/>
    <n v="94800"/>
    <n v="92300"/>
    <n v="87300"/>
    <n v="81327"/>
    <n v="87550"/>
    <n v="94800"/>
    <n v="94800"/>
    <n v="1063286"/>
  </r>
  <r>
    <x v="1"/>
    <x v="0"/>
    <x v="1"/>
    <s v="Продажи"/>
    <s v="Зарплата"/>
    <s v="Одесса"/>
    <x v="2"/>
    <x v="0"/>
    <s v="Зарплата"/>
    <x v="0"/>
    <m/>
    <m/>
    <n v="36480"/>
    <n v="40311"/>
    <n v="45558"/>
    <n v="45700"/>
    <n v="46316"/>
    <n v="46082.61"/>
    <n v="46100"/>
    <n v="48899.26"/>
    <n v="43505.14"/>
    <n v="40931.24"/>
    <n v="46100"/>
    <n v="46100"/>
    <n v="532083.25"/>
  </r>
  <r>
    <x v="1"/>
    <x v="0"/>
    <x v="1"/>
    <s v="Продажи"/>
    <s v="Зарплата"/>
    <s v="Трейд - маркетинг"/>
    <x v="0"/>
    <x v="0"/>
    <s v="Зарплата"/>
    <x v="0"/>
    <m/>
    <m/>
    <n v="7333.33"/>
    <m/>
    <m/>
    <m/>
    <m/>
    <m/>
    <m/>
    <m/>
    <m/>
    <m/>
    <m/>
    <m/>
    <n v="7333.33"/>
  </r>
  <r>
    <x v="1"/>
    <x v="0"/>
    <x v="1"/>
    <s v="Продажи"/>
    <s v="Зарплата"/>
    <s v="Харьков"/>
    <x v="2"/>
    <x v="0"/>
    <s v="Зарплата"/>
    <x v="0"/>
    <m/>
    <m/>
    <n v="22891"/>
    <n v="26957.1"/>
    <n v="36682"/>
    <n v="34052"/>
    <n v="37300"/>
    <n v="38485.21"/>
    <n v="37077.35"/>
    <n v="38327.629999999997"/>
    <n v="37887"/>
    <n v="41415"/>
    <n v="49300"/>
    <n v="19700"/>
    <n v="420074.29"/>
  </r>
  <r>
    <x v="1"/>
    <x v="0"/>
    <x v="1"/>
    <s v="Продажи"/>
    <s v="Зарплата"/>
    <s v="Холодильное оборудование"/>
    <x v="0"/>
    <x v="0"/>
    <s v="Зарплата"/>
    <x v="0"/>
    <m/>
    <m/>
    <m/>
    <m/>
    <m/>
    <m/>
    <m/>
    <m/>
    <m/>
    <m/>
    <m/>
    <n v="9916"/>
    <n v="9916"/>
    <n v="9916"/>
    <n v="29748"/>
  </r>
  <r>
    <x v="1"/>
    <x v="0"/>
    <x v="1"/>
    <s v="Продажи"/>
    <s v="Командировочные расходы"/>
    <s v="Дистрибьюторы"/>
    <x v="1"/>
    <x v="1"/>
    <s v="Командировочные расходы"/>
    <x v="1"/>
    <m/>
    <m/>
    <n v="13190.59"/>
    <n v="19010.61"/>
    <n v="12246.88"/>
    <n v="15010.24"/>
    <n v="12154.62"/>
    <n v="14123.74"/>
    <n v="10638.99"/>
    <n v="25894.74"/>
    <n v="7668.55"/>
    <n v="13400.78"/>
    <n v="23100"/>
    <n v="23900"/>
    <n v="190339.74000000002"/>
  </r>
  <r>
    <x v="1"/>
    <x v="0"/>
    <x v="1"/>
    <s v="Продажи"/>
    <s v="Командировочные расходы"/>
    <s v="Днепропетровск"/>
    <x v="2"/>
    <x v="1"/>
    <s v="Командировочные расходы"/>
    <x v="1"/>
    <m/>
    <m/>
    <m/>
    <m/>
    <m/>
    <m/>
    <m/>
    <m/>
    <m/>
    <m/>
    <m/>
    <m/>
    <n v="4500"/>
    <n v="1240"/>
    <n v="5740"/>
  </r>
  <r>
    <x v="1"/>
    <x v="0"/>
    <x v="1"/>
    <s v="Продажи"/>
    <s v="Командировочные расходы"/>
    <s v="Донецк"/>
    <x v="2"/>
    <x v="1"/>
    <s v="Командировочные расходы"/>
    <x v="1"/>
    <m/>
    <m/>
    <m/>
    <n v="142.4"/>
    <n v="738"/>
    <n v="154.58000000000001"/>
    <n v="985.31"/>
    <n v="1491"/>
    <m/>
    <m/>
    <m/>
    <n v="560.54"/>
    <n v="1000"/>
    <n v="1000"/>
    <n v="6071.83"/>
  </r>
  <r>
    <x v="1"/>
    <x v="0"/>
    <x v="1"/>
    <s v="Продажи"/>
    <s v="Командировочные расходы"/>
    <s v="Киев"/>
    <x v="2"/>
    <x v="1"/>
    <s v="Командировочные расходы"/>
    <x v="1"/>
    <m/>
    <m/>
    <n v="2014"/>
    <n v="2000"/>
    <n v="5578"/>
    <n v="5599.8"/>
    <n v="5600"/>
    <n v="5600"/>
    <n v="5555"/>
    <n v="3915"/>
    <n v="-3465.8"/>
    <m/>
    <n v="700"/>
    <n v="700"/>
    <n v="33796"/>
  </r>
  <r>
    <x v="1"/>
    <x v="0"/>
    <x v="1"/>
    <s v="Продажи"/>
    <s v="Командировочные расходы"/>
    <s v="Львов"/>
    <x v="2"/>
    <x v="1"/>
    <s v="Командировочные расходы"/>
    <x v="1"/>
    <m/>
    <m/>
    <n v="750"/>
    <n v="200"/>
    <n v="500"/>
    <n v="692"/>
    <n v="400"/>
    <n v="800"/>
    <n v="574"/>
    <m/>
    <n v="720"/>
    <m/>
    <m/>
    <m/>
    <n v="4636"/>
  </r>
  <r>
    <x v="1"/>
    <x v="0"/>
    <x v="1"/>
    <s v="Продажи"/>
    <s v="Командировочные расходы"/>
    <s v="Львов"/>
    <x v="0"/>
    <x v="1"/>
    <s v="Командировочные расходы"/>
    <x v="1"/>
    <m/>
    <m/>
    <m/>
    <m/>
    <m/>
    <m/>
    <m/>
    <m/>
    <m/>
    <m/>
    <m/>
    <n v="551"/>
    <m/>
    <m/>
    <n v="551"/>
  </r>
  <r>
    <x v="1"/>
    <x v="0"/>
    <x v="1"/>
    <s v="Продажи"/>
    <s v="Командировочные расходы"/>
    <s v="Львов сети"/>
    <x v="2"/>
    <x v="1"/>
    <s v="Командировочные расходы"/>
    <x v="1"/>
    <m/>
    <m/>
    <m/>
    <m/>
    <m/>
    <m/>
    <m/>
    <m/>
    <m/>
    <m/>
    <m/>
    <m/>
    <n v="1000"/>
    <n v="1000"/>
    <n v="2000"/>
  </r>
  <r>
    <x v="1"/>
    <x v="0"/>
    <x v="1"/>
    <s v="Продажи"/>
    <s v="Командировочные расходы"/>
    <s v="Национальные сети"/>
    <x v="2"/>
    <x v="1"/>
    <s v="Командировочные расходы"/>
    <x v="1"/>
    <m/>
    <m/>
    <n v="1424.39"/>
    <n v="4885.59"/>
    <n v="1433.2"/>
    <n v="4962.7"/>
    <n v="2241"/>
    <n v="2841.61"/>
    <n v="921.9"/>
    <n v="4122.8999999999996"/>
    <n v="1674.34"/>
    <n v="5442.93"/>
    <n v="9000"/>
    <n v="9000"/>
    <n v="47950.559999999998"/>
  </r>
  <r>
    <x v="1"/>
    <x v="0"/>
    <x v="1"/>
    <s v="Продажи"/>
    <s v="Командировочные расходы"/>
    <s v="Одесса"/>
    <x v="2"/>
    <x v="1"/>
    <s v="Командировочные расходы"/>
    <x v="1"/>
    <m/>
    <m/>
    <m/>
    <n v="999.97"/>
    <n v="999.98"/>
    <n v="2582.1"/>
    <n v="1832.22"/>
    <n v="1579.74"/>
    <n v="191.57"/>
    <n v="1575.07"/>
    <n v="350"/>
    <n v="350"/>
    <n v="1500"/>
    <n v="400"/>
    <n v="12360.65"/>
  </r>
  <r>
    <x v="1"/>
    <x v="0"/>
    <x v="1"/>
    <s v="Продажи"/>
    <s v="Командировочные расходы"/>
    <s v="Харьков"/>
    <x v="2"/>
    <x v="1"/>
    <s v="Командировочные расходы"/>
    <x v="1"/>
    <m/>
    <m/>
    <n v="376"/>
    <n v="390"/>
    <n v="730"/>
    <m/>
    <m/>
    <n v="368"/>
    <m/>
    <m/>
    <m/>
    <m/>
    <n v="756"/>
    <n v="1550"/>
    <n v="4170"/>
  </r>
  <r>
    <x v="1"/>
    <x v="0"/>
    <x v="1"/>
    <s v="Продажи"/>
    <s v="Командировочные расходы"/>
    <s v="Холодильное оборудование"/>
    <x v="0"/>
    <x v="1"/>
    <s v="Командировочные расходы"/>
    <x v="1"/>
    <m/>
    <m/>
    <m/>
    <m/>
    <m/>
    <m/>
    <m/>
    <m/>
    <m/>
    <m/>
    <m/>
    <n v="2835.04"/>
    <n v="2040"/>
    <n v="650"/>
    <n v="5525.04"/>
  </r>
  <r>
    <x v="1"/>
    <x v="0"/>
    <x v="1"/>
    <s v="Продажи"/>
    <s v="Расходы на канцтовары и обслуживание оргтехники"/>
    <s v="Дистрибьюторы"/>
    <x v="1"/>
    <x v="6"/>
    <s v="Расходы на канцтовары и обслуживание оргтехники"/>
    <x v="17"/>
    <m/>
    <m/>
    <m/>
    <m/>
    <m/>
    <m/>
    <m/>
    <n v="707.94"/>
    <n v="609.48"/>
    <n v="605.4"/>
    <m/>
    <m/>
    <m/>
    <m/>
    <n v="1922.8200000000002"/>
  </r>
  <r>
    <x v="1"/>
    <x v="0"/>
    <x v="1"/>
    <s v="Продажи"/>
    <s v="Расходы на канцтовары и обслуживание оргтехники"/>
    <s v="Днепропетровск"/>
    <x v="2"/>
    <x v="6"/>
    <s v="Расходы на канцтовары и обслуживание оргтехники"/>
    <x v="17"/>
    <m/>
    <m/>
    <n v="388.8"/>
    <n v="200"/>
    <n v="200"/>
    <n v="200"/>
    <n v="200"/>
    <n v="200"/>
    <n v="200"/>
    <n v="250"/>
    <n v="250"/>
    <n v="243.44"/>
    <n v="250"/>
    <n v="250"/>
    <n v="2832.2400000000002"/>
  </r>
  <r>
    <x v="1"/>
    <x v="0"/>
    <x v="1"/>
    <s v="Продажи"/>
    <s v="Расходы на канцтовары и обслуживание оргтехники"/>
    <s v="Днепропетровск"/>
    <x v="2"/>
    <x v="6"/>
    <s v="Расходы на канцтовары и обслуживание оргтехники"/>
    <x v="38"/>
    <m/>
    <m/>
    <n v="220"/>
    <n v="220"/>
    <n v="220"/>
    <n v="220"/>
    <n v="110"/>
    <n v="250"/>
    <n v="110"/>
    <m/>
    <n v="250"/>
    <n v="220"/>
    <n v="250"/>
    <n v="250"/>
    <n v="2320"/>
  </r>
  <r>
    <x v="1"/>
    <x v="0"/>
    <x v="1"/>
    <s v="Продажи"/>
    <s v="Расходы на канцтовары и обслуживание оргтехники"/>
    <s v="Донецк"/>
    <x v="2"/>
    <x v="6"/>
    <s v="Расходы на канцтовары и обслуживание оргтехники"/>
    <x v="17"/>
    <m/>
    <m/>
    <n v="300"/>
    <n v="120"/>
    <n v="446.4"/>
    <m/>
    <m/>
    <m/>
    <n v="185.4"/>
    <n v="50"/>
    <m/>
    <m/>
    <n v="300"/>
    <n v="300"/>
    <n v="1701.8"/>
  </r>
  <r>
    <x v="1"/>
    <x v="0"/>
    <x v="1"/>
    <s v="Продажи"/>
    <s v="Расходы на канцтовары и обслуживание оргтехники"/>
    <s v="Донецк"/>
    <x v="2"/>
    <x v="6"/>
    <s v="Расходы на канцтовары и обслуживание оргтехники"/>
    <x v="38"/>
    <m/>
    <m/>
    <n v="243"/>
    <m/>
    <n v="460"/>
    <n v="466"/>
    <m/>
    <m/>
    <m/>
    <m/>
    <m/>
    <m/>
    <n v="625"/>
    <n v="625"/>
    <n v="2419"/>
  </r>
  <r>
    <x v="1"/>
    <x v="0"/>
    <x v="1"/>
    <s v="Продажи"/>
    <s v="Расходы на канцтовары и обслуживание оргтехники"/>
    <s v="Львов сети"/>
    <x v="2"/>
    <x v="6"/>
    <s v="Расходы на канцтовары и обслуживание оргтехники"/>
    <x v="17"/>
    <m/>
    <m/>
    <m/>
    <m/>
    <m/>
    <m/>
    <m/>
    <m/>
    <m/>
    <m/>
    <m/>
    <m/>
    <m/>
    <n v="50"/>
    <n v="50"/>
  </r>
  <r>
    <x v="1"/>
    <x v="0"/>
    <x v="1"/>
    <s v="Продажи"/>
    <s v="Расходы на канцтовары и обслуживание оргтехники"/>
    <s v="Национальные сети"/>
    <x v="2"/>
    <x v="6"/>
    <s v="Расходы на канцтовары и обслуживание оргтехники"/>
    <x v="17"/>
    <m/>
    <m/>
    <n v="314.73"/>
    <n v="89.4"/>
    <n v="218.42"/>
    <n v="199.86"/>
    <n v="232.16"/>
    <n v="247.74"/>
    <n v="178.13"/>
    <n v="366.49"/>
    <n v="148.97999999999999"/>
    <n v="59.52"/>
    <n v="200"/>
    <n v="200"/>
    <n v="2455.4300000000003"/>
  </r>
  <r>
    <x v="1"/>
    <x v="0"/>
    <x v="1"/>
    <s v="Продажи"/>
    <s v="Расходы на канцтовары и обслуживание оргтехники"/>
    <s v="Национальные сети"/>
    <x v="2"/>
    <x v="6"/>
    <s v="Расходы на канцтовары и обслуживание оргтехники"/>
    <x v="38"/>
    <m/>
    <m/>
    <m/>
    <m/>
    <m/>
    <n v="30"/>
    <m/>
    <m/>
    <m/>
    <m/>
    <m/>
    <m/>
    <m/>
    <m/>
    <n v="30"/>
  </r>
  <r>
    <x v="1"/>
    <x v="0"/>
    <x v="1"/>
    <s v="Продажи"/>
    <s v="Расходы на канцтовары и обслуживание оргтехники"/>
    <s v="Одесса"/>
    <x v="2"/>
    <x v="6"/>
    <s v="Расходы на канцтовары и обслуживание оргтехники"/>
    <x v="17"/>
    <m/>
    <m/>
    <n v="99.91"/>
    <m/>
    <n v="197.26"/>
    <m/>
    <n v="99.12"/>
    <n v="98.32"/>
    <n v="99"/>
    <n v="99"/>
    <n v="99"/>
    <n v="99"/>
    <n v="100"/>
    <n v="100"/>
    <n v="1090.6099999999999"/>
  </r>
  <r>
    <x v="1"/>
    <x v="0"/>
    <x v="1"/>
    <s v="Продажи"/>
    <s v="Расходы на канцтовары и обслуживание оргтехники"/>
    <s v="Трейд - маркетинг"/>
    <x v="0"/>
    <x v="6"/>
    <s v="Расходы на канцтовары и обслуживание оргтехники"/>
    <x v="17"/>
    <m/>
    <m/>
    <n v="190.27"/>
    <m/>
    <m/>
    <m/>
    <m/>
    <m/>
    <m/>
    <m/>
    <m/>
    <m/>
    <m/>
    <m/>
    <n v="190.27"/>
  </r>
  <r>
    <x v="1"/>
    <x v="0"/>
    <x v="1"/>
    <s v="Продажи"/>
    <s v="Расходы на канцтовары и обслуживание оргтехники"/>
    <s v="Харьков"/>
    <x v="2"/>
    <x v="6"/>
    <s v="Расходы на канцтовары и обслуживание оргтехники"/>
    <x v="17"/>
    <m/>
    <m/>
    <n v="400"/>
    <n v="409.56"/>
    <n v="407.64"/>
    <n v="409.98"/>
    <n v="709.92"/>
    <m/>
    <m/>
    <m/>
    <n v="609"/>
    <n v="609.78"/>
    <n v="610"/>
    <n v="610"/>
    <n v="4775.88"/>
  </r>
  <r>
    <x v="1"/>
    <x v="0"/>
    <x v="1"/>
    <s v="Продажи"/>
    <s v="Расходы на канцтовары и обслуживание оргтехники"/>
    <s v="Харьков"/>
    <x v="2"/>
    <x v="6"/>
    <s v="Расходы на канцтовары и обслуживание оргтехники"/>
    <x v="38"/>
    <m/>
    <m/>
    <m/>
    <n v="275"/>
    <n v="130"/>
    <n v="580"/>
    <n v="405"/>
    <n v="530"/>
    <n v="260"/>
    <n v="405"/>
    <n v="65"/>
    <n v="340"/>
    <n v="360"/>
    <n v="360"/>
    <n v="3710"/>
  </r>
  <r>
    <x v="1"/>
    <x v="0"/>
    <x v="1"/>
    <s v="Продажи"/>
    <s v="Расходы на канцтовары и обслуживание оргтехники"/>
    <s v="Холодильное оборудование"/>
    <x v="0"/>
    <x v="6"/>
    <s v="Расходы на канцтовары и обслуживание оргтехники"/>
    <x v="17"/>
    <m/>
    <m/>
    <m/>
    <m/>
    <m/>
    <m/>
    <m/>
    <m/>
    <m/>
    <m/>
    <m/>
    <n v="50.04"/>
    <n v="50"/>
    <n v="50"/>
    <n v="150.04"/>
  </r>
  <r>
    <x v="1"/>
    <x v="0"/>
    <x v="1"/>
    <s v="Продажи"/>
    <s v="Расходы на логистику"/>
    <s v="Дистрибьюторы"/>
    <x v="1"/>
    <x v="12"/>
    <s v="Найм транспорта"/>
    <x v="36"/>
    <m/>
    <m/>
    <m/>
    <m/>
    <m/>
    <m/>
    <m/>
    <m/>
    <n v="200"/>
    <m/>
    <m/>
    <m/>
    <m/>
    <m/>
    <n v="200"/>
  </r>
  <r>
    <x v="1"/>
    <x v="0"/>
    <x v="1"/>
    <s v="Продажи"/>
    <s v="Расходы на налоги"/>
    <s v="Дистрибьюторы"/>
    <x v="1"/>
    <x v="3"/>
    <s v="Расходы на налоги"/>
    <x v="12"/>
    <m/>
    <m/>
    <n v="5906.044516187485"/>
    <n v="4899.6616945992191"/>
    <n v="10123.630479430476"/>
    <n v="10930.860343291615"/>
    <n v="9344.9356022336597"/>
    <n v="9056.625530415271"/>
    <n v="15539.630927970446"/>
    <n v="8541.9048766750584"/>
    <n v="7862.4173780679712"/>
    <n v="18299.99460784089"/>
    <n v="8997.56"/>
    <n v="8997.56"/>
    <n v="118500.8259567121"/>
  </r>
  <r>
    <x v="1"/>
    <x v="0"/>
    <x v="1"/>
    <s v="Продажи"/>
    <s v="Расходы на налоги"/>
    <s v="Днепропетровск"/>
    <x v="2"/>
    <x v="3"/>
    <s v="Расходы на налоги"/>
    <x v="12"/>
    <m/>
    <m/>
    <n v="5719.0902374237403"/>
    <n v="4481.8610849822308"/>
    <n v="8219.3628837446668"/>
    <n v="8884.5061627202831"/>
    <n v="7595.4806246539001"/>
    <n v="8376.5811358755527"/>
    <n v="5848.254384453795"/>
    <n v="8373.8875114033672"/>
    <n v="7260.386110410971"/>
    <n v="8449.1684725928462"/>
    <n v="8308.61"/>
    <n v="8308.61"/>
    <n v="89825.79860826135"/>
  </r>
  <r>
    <x v="1"/>
    <x v="0"/>
    <x v="1"/>
    <s v="Продажи"/>
    <s v="Расходы на налоги"/>
    <s v="Донецк"/>
    <x v="2"/>
    <x v="3"/>
    <s v="Расходы на налоги"/>
    <x v="12"/>
    <m/>
    <m/>
    <n v="4209.4001855235811"/>
    <n v="3298.6681740007898"/>
    <n v="6049.0666722999858"/>
    <n v="6531.4022609298827"/>
    <n v="5583.7812947753237"/>
    <n v="6415.5549053840277"/>
    <n v="4543.2321228995852"/>
    <n v="6413.4918804559002"/>
    <n v="5903.314394508041"/>
    <n v="6869.8960506189296"/>
    <n v="6755.61"/>
    <n v="6755.61"/>
    <n v="69329.027941396052"/>
  </r>
  <r>
    <x v="1"/>
    <x v="0"/>
    <x v="1"/>
    <s v="Продажи"/>
    <s v="Расходы на налоги"/>
    <s v="Киев"/>
    <x v="2"/>
    <x v="3"/>
    <s v="Расходы на налоги"/>
    <x v="12"/>
    <m/>
    <m/>
    <n v="14289.601654410853"/>
    <n v="11165.519872987319"/>
    <n v="22098.15819274676"/>
    <n v="23869.946238037614"/>
    <n v="20406.729517877095"/>
    <n v="20865.194876469821"/>
    <n v="18984.023227400237"/>
    <n v="22316.604171713712"/>
    <n v="20988.752534260642"/>
    <n v="23904.733792457264"/>
    <n v="23507.06"/>
    <n v="23507.06"/>
    <n v="245903.3840783613"/>
  </r>
  <r>
    <x v="1"/>
    <x v="0"/>
    <x v="1"/>
    <s v="Продажи"/>
    <s v="Расходы на налоги"/>
    <s v="Львов"/>
    <x v="2"/>
    <x v="3"/>
    <s v="Расходы на налоги"/>
    <x v="12"/>
    <m/>
    <m/>
    <n v="4263.0907587474721"/>
    <n v="3322.8384572017726"/>
    <n v="6094.1945479291744"/>
    <n v="6580.1285066274486"/>
    <n v="5625.4380000923775"/>
    <n v="5483.7642658911182"/>
    <n v="5405.9833238511319"/>
    <n v="5482.0008732388287"/>
    <n v="5045.9212031302977"/>
    <m/>
    <m/>
    <m/>
    <n v="47303.359936709618"/>
  </r>
  <r>
    <x v="1"/>
    <x v="0"/>
    <x v="1"/>
    <s v="Продажи"/>
    <s v="Расходы на налоги"/>
    <s v="Львов сети"/>
    <x v="2"/>
    <x v="3"/>
    <s v="Расходы на налоги"/>
    <x v="12"/>
    <m/>
    <m/>
    <m/>
    <m/>
    <m/>
    <m/>
    <m/>
    <m/>
    <m/>
    <m/>
    <m/>
    <n v="5872.1172257687267"/>
    <n v="5774.43"/>
    <n v="5774.43"/>
    <n v="17420.977225768729"/>
  </r>
  <r>
    <x v="1"/>
    <x v="0"/>
    <x v="1"/>
    <s v="Продажи"/>
    <s v="Расходы на налоги"/>
    <s v="Национальные сети"/>
    <x v="2"/>
    <x v="3"/>
    <s v="Расходы на налоги"/>
    <x v="12"/>
    <m/>
    <m/>
    <n v="2230.2545725463228"/>
    <n v="1733.3545952704778"/>
    <n v="3178.3491040072422"/>
    <n v="3431.7817356845767"/>
    <n v="2933.8751309338236"/>
    <n v="2859.9870096048221"/>
    <n v="8335.6207858748894"/>
    <n v="2859.0673347548745"/>
    <n v="2631.6355686921725"/>
    <n v="3062.5275212931115"/>
    <n v="3011.58"/>
    <n v="3011.58"/>
    <n v="39279.613358662311"/>
  </r>
  <r>
    <x v="1"/>
    <x v="0"/>
    <x v="1"/>
    <s v="Продажи"/>
    <s v="Расходы на налоги"/>
    <s v="Одесса"/>
    <x v="2"/>
    <x v="3"/>
    <s v="Расходы на налоги"/>
    <x v="12"/>
    <m/>
    <m/>
    <n v="3481.4004461854465"/>
    <n v="2718.5813771772036"/>
    <n v="4986.4719506327374"/>
    <n v="5384.0792202812336"/>
    <n v="5101.6799439743409"/>
    <n v="4486.9976632170328"/>
    <n v="4163.2948887197444"/>
    <n v="4485.5547969072304"/>
    <n v="4128.7399584350533"/>
    <n v="4804.933801562619"/>
    <n v="4724.83"/>
    <n v="4724.83"/>
    <n v="53191.394047092654"/>
  </r>
  <r>
    <x v="1"/>
    <x v="0"/>
    <x v="1"/>
    <s v="Продажи"/>
    <s v="Расходы на налоги"/>
    <s v="Трейд - маркетинг"/>
    <x v="0"/>
    <x v="3"/>
    <s v="Расходы на налоги"/>
    <x v="12"/>
    <m/>
    <m/>
    <n v="374.46397725049582"/>
    <m/>
    <m/>
    <m/>
    <m/>
    <m/>
    <m/>
    <m/>
    <m/>
    <m/>
    <m/>
    <m/>
    <n v="374.46397725049582"/>
  </r>
  <r>
    <x v="1"/>
    <x v="0"/>
    <x v="1"/>
    <s v="Продажи"/>
    <s v="Расходы на налоги"/>
    <s v="Харьков"/>
    <x v="2"/>
    <x v="3"/>
    <s v="Расходы на налоги"/>
    <x v="12"/>
    <m/>
    <m/>
    <n v="2710.4482482681988"/>
    <n v="2120.0791264862019"/>
    <n v="3896.817389603179"/>
    <n v="4207.5386646726784"/>
    <n v="3597.0798848788681"/>
    <n v="3506.4892962877839"/>
    <n v="3348.4586061230589"/>
    <n v="3991.3950106533011"/>
    <n v="3673.8893663154186"/>
    <n v="5930.0204915170807"/>
    <n v="5831.37"/>
    <n v="1627.37"/>
    <n v="44440.956084805774"/>
  </r>
  <r>
    <x v="1"/>
    <x v="0"/>
    <x v="1"/>
    <s v="Продажи"/>
    <s v="Расходы на налоги"/>
    <s v="Холодильное оборудование"/>
    <x v="1"/>
    <x v="3"/>
    <s v="Расходы на налоги"/>
    <x v="12"/>
    <m/>
    <m/>
    <m/>
    <m/>
    <m/>
    <m/>
    <n v="615.7515706898148"/>
    <m/>
    <m/>
    <m/>
    <m/>
    <m/>
    <m/>
    <m/>
    <n v="615.7515706898148"/>
  </r>
  <r>
    <x v="1"/>
    <x v="0"/>
    <x v="1"/>
    <s v="Продажи"/>
    <s v="Расходы на налоги"/>
    <s v="Холодильное оборудование"/>
    <x v="0"/>
    <x v="3"/>
    <s v="Расходы на налоги"/>
    <x v="12"/>
    <m/>
    <m/>
    <m/>
    <m/>
    <m/>
    <m/>
    <m/>
    <m/>
    <m/>
    <m/>
    <m/>
    <n v="642.75268965410976"/>
    <n v="632.05999999999995"/>
    <n v="632.05999999999995"/>
    <n v="1906.8726896541098"/>
  </r>
  <r>
    <x v="1"/>
    <x v="0"/>
    <x v="1"/>
    <s v="Продажи"/>
    <s v="Расходы на персонал"/>
    <s v="Дистрибьюторы"/>
    <x v="1"/>
    <x v="7"/>
    <s v="Расходы на персонал"/>
    <x v="37"/>
    <m/>
    <m/>
    <n v="7270.7"/>
    <n v="7433"/>
    <n v="8124.65"/>
    <n v="8333"/>
    <n v="8733"/>
    <n v="8733"/>
    <n v="8360.42"/>
    <n v="6037.84"/>
    <n v="9205"/>
    <n v="8635"/>
    <n v="7744"/>
    <n v="7744"/>
    <n v="96353.61"/>
  </r>
  <r>
    <x v="1"/>
    <x v="0"/>
    <x v="1"/>
    <s v="Продажи"/>
    <s v="Расходы на персонал"/>
    <s v="Дистрибьюторы"/>
    <x v="1"/>
    <x v="7"/>
    <s v="Расходы на персонал"/>
    <x v="29"/>
    <m/>
    <m/>
    <n v="27081.91"/>
    <n v="27708.400000000001"/>
    <n v="30674.81"/>
    <n v="33453.949999999997"/>
    <n v="34208.730000000003"/>
    <n v="36474.51"/>
    <n v="38524.14"/>
    <n v="37696.800000000003"/>
    <n v="34484.29"/>
    <n v="37432.120000000003"/>
    <n v="40900"/>
    <n v="40900"/>
    <n v="419539.66"/>
  </r>
  <r>
    <x v="1"/>
    <x v="0"/>
    <x v="1"/>
    <s v="Продажи"/>
    <s v="Расходы на персонал"/>
    <s v="Дистрибьюторы"/>
    <x v="1"/>
    <x v="7"/>
    <s v="Расходы на персонал"/>
    <x v="44"/>
    <m/>
    <m/>
    <m/>
    <n v="24173"/>
    <m/>
    <m/>
    <m/>
    <m/>
    <m/>
    <m/>
    <m/>
    <m/>
    <m/>
    <m/>
    <n v="24173"/>
  </r>
  <r>
    <x v="1"/>
    <x v="0"/>
    <x v="1"/>
    <s v="Продажи"/>
    <s v="Расходы на персонал"/>
    <s v="Днепропетровск"/>
    <x v="2"/>
    <x v="7"/>
    <s v="Расходы на персонал"/>
    <x v="37"/>
    <m/>
    <m/>
    <n v="200"/>
    <n v="200"/>
    <n v="200"/>
    <n v="200"/>
    <n v="200"/>
    <n v="200"/>
    <n v="200"/>
    <n v="200"/>
    <m/>
    <m/>
    <m/>
    <m/>
    <n v="1600"/>
  </r>
  <r>
    <x v="1"/>
    <x v="0"/>
    <x v="1"/>
    <s v="Продажи"/>
    <s v="Расходы на персонал"/>
    <s v="Днепропетровск"/>
    <x v="2"/>
    <x v="7"/>
    <s v="Расходы на персонал"/>
    <x v="29"/>
    <m/>
    <m/>
    <n v="1572.79"/>
    <n v="1613.01"/>
    <n v="1635.92"/>
    <n v="1635.48"/>
    <n v="1587.59"/>
    <n v="1643.83"/>
    <n v="1578.31"/>
    <n v="855.26"/>
    <m/>
    <m/>
    <n v="1600"/>
    <n v="1600"/>
    <n v="15322.19"/>
  </r>
  <r>
    <x v="1"/>
    <x v="0"/>
    <x v="1"/>
    <s v="Продажи"/>
    <s v="Расходы на персонал"/>
    <s v="Днепропетровск"/>
    <x v="2"/>
    <x v="7"/>
    <s v="Расходы на персонал"/>
    <x v="26"/>
    <m/>
    <m/>
    <m/>
    <m/>
    <m/>
    <m/>
    <m/>
    <m/>
    <n v="8499"/>
    <m/>
    <m/>
    <m/>
    <n v="7751"/>
    <n v="7353"/>
    <n v="23603"/>
  </r>
  <r>
    <x v="1"/>
    <x v="0"/>
    <x v="1"/>
    <s v="Продажи"/>
    <s v="Расходы на персонал"/>
    <s v="Донецк"/>
    <x v="2"/>
    <x v="7"/>
    <s v="Расходы на персонал"/>
    <x v="29"/>
    <m/>
    <m/>
    <n v="2368"/>
    <n v="2368"/>
    <n v="2368"/>
    <n v="2368"/>
    <n v="2368"/>
    <n v="2368"/>
    <n v="3368"/>
    <n v="2368"/>
    <n v="3000"/>
    <n v="3000"/>
    <n v="3000"/>
    <n v="3000"/>
    <n v="31944"/>
  </r>
  <r>
    <x v="1"/>
    <x v="0"/>
    <x v="1"/>
    <s v="Продажи"/>
    <s v="Расходы на персонал"/>
    <s v="Донецк"/>
    <x v="2"/>
    <x v="7"/>
    <s v="Расходы на персонал"/>
    <x v="26"/>
    <m/>
    <m/>
    <n v="4375.09"/>
    <n v="4617"/>
    <n v="5287.4"/>
    <n v="5085"/>
    <n v="5108"/>
    <n v="5352"/>
    <n v="5687"/>
    <n v="5296"/>
    <n v="5212"/>
    <n v="5441"/>
    <n v="5748"/>
    <n v="5748"/>
    <n v="62956.49"/>
  </r>
  <r>
    <x v="1"/>
    <x v="0"/>
    <x v="1"/>
    <s v="Продажи"/>
    <s v="Расходы на персонал"/>
    <s v="Киев"/>
    <x v="2"/>
    <x v="7"/>
    <s v="Расходы на персонал"/>
    <x v="37"/>
    <m/>
    <m/>
    <n v="600"/>
    <n v="600"/>
    <n v="600"/>
    <n v="600"/>
    <n v="600"/>
    <n v="600"/>
    <n v="600"/>
    <n v="600"/>
    <n v="600"/>
    <n v="1200"/>
    <n v="1200"/>
    <n v="1200"/>
    <n v="9000"/>
  </r>
  <r>
    <x v="1"/>
    <x v="0"/>
    <x v="1"/>
    <s v="Продажи"/>
    <s v="Расходы на персонал"/>
    <s v="Киев"/>
    <x v="2"/>
    <x v="7"/>
    <s v="Расходы на персонал"/>
    <x v="29"/>
    <m/>
    <m/>
    <n v="3957.33"/>
    <n v="3972.56"/>
    <n v="3889.46"/>
    <n v="4902.8100000000004"/>
    <n v="7125.63"/>
    <n v="5109.63"/>
    <n v="7293.57"/>
    <n v="7751.24"/>
    <n v="9154.75"/>
    <n v="7661.21"/>
    <n v="7525"/>
    <n v="8225"/>
    <n v="76568.19"/>
  </r>
  <r>
    <x v="1"/>
    <x v="0"/>
    <x v="1"/>
    <s v="Продажи"/>
    <s v="Расходы на персонал"/>
    <s v="Киев"/>
    <x v="2"/>
    <x v="7"/>
    <s v="Расходы на персонал"/>
    <x v="26"/>
    <m/>
    <m/>
    <n v="8720"/>
    <n v="8950"/>
    <n v="10590"/>
    <n v="10810"/>
    <n v="10930"/>
    <n v="11390"/>
    <n v="11970"/>
    <n v="12420"/>
    <n v="12500"/>
    <n v="12270"/>
    <n v="12270"/>
    <n v="12600"/>
    <n v="135420"/>
  </r>
  <r>
    <x v="1"/>
    <x v="0"/>
    <x v="1"/>
    <s v="Продажи"/>
    <s v="Расходы на персонал"/>
    <s v="Львов"/>
    <x v="2"/>
    <x v="7"/>
    <s v="Расходы на персонал"/>
    <x v="37"/>
    <m/>
    <m/>
    <n v="800"/>
    <n v="200"/>
    <n v="200"/>
    <n v="200"/>
    <n v="200"/>
    <n v="200"/>
    <n v="200"/>
    <n v="200"/>
    <n v="366.68"/>
    <m/>
    <m/>
    <m/>
    <n v="2566.6799999999998"/>
  </r>
  <r>
    <x v="1"/>
    <x v="0"/>
    <x v="1"/>
    <s v="Продажи"/>
    <s v="Расходы на персонал"/>
    <s v="Львов"/>
    <x v="2"/>
    <x v="7"/>
    <s v="Расходы на персонал"/>
    <x v="29"/>
    <m/>
    <m/>
    <n v="6355.02"/>
    <n v="6469.38"/>
    <n v="7278.79"/>
    <n v="7264.7"/>
    <n v="6876.65"/>
    <n v="6485.62"/>
    <n v="6485.62"/>
    <n v="4085.61"/>
    <n v="5036.12"/>
    <m/>
    <m/>
    <m/>
    <n v="56337.510000000009"/>
  </r>
  <r>
    <x v="1"/>
    <x v="0"/>
    <x v="1"/>
    <s v="Продажи"/>
    <s v="Расходы на персонал"/>
    <s v="Львов"/>
    <x v="2"/>
    <x v="7"/>
    <s v="Расходы на персонал"/>
    <x v="26"/>
    <m/>
    <m/>
    <n v="2280"/>
    <n v="3080"/>
    <n v="3080"/>
    <n v="3080"/>
    <n v="3380"/>
    <n v="3430"/>
    <n v="3430"/>
    <n v="5830"/>
    <n v="5830"/>
    <m/>
    <m/>
    <m/>
    <n v="33420"/>
  </r>
  <r>
    <x v="1"/>
    <x v="0"/>
    <x v="1"/>
    <s v="Продажи"/>
    <s v="Расходы на персонал"/>
    <s v="Львов"/>
    <x v="0"/>
    <x v="7"/>
    <s v="Расходы на персонал"/>
    <x v="37"/>
    <m/>
    <m/>
    <m/>
    <m/>
    <m/>
    <m/>
    <m/>
    <m/>
    <m/>
    <m/>
    <m/>
    <n v="400"/>
    <m/>
    <m/>
    <n v="400"/>
  </r>
  <r>
    <x v="1"/>
    <x v="0"/>
    <x v="1"/>
    <s v="Продажи"/>
    <s v="Расходы на персонал"/>
    <s v="Львов"/>
    <x v="0"/>
    <x v="7"/>
    <s v="Расходы на персонал"/>
    <x v="29"/>
    <m/>
    <m/>
    <m/>
    <m/>
    <m/>
    <m/>
    <m/>
    <m/>
    <m/>
    <m/>
    <m/>
    <n v="5060.8"/>
    <m/>
    <m/>
    <n v="5060.8"/>
  </r>
  <r>
    <x v="1"/>
    <x v="0"/>
    <x v="1"/>
    <s v="Продажи"/>
    <s v="Расходы на персонал"/>
    <s v="Львов"/>
    <x v="0"/>
    <x v="7"/>
    <s v="Расходы на персонал"/>
    <x v="26"/>
    <m/>
    <m/>
    <m/>
    <m/>
    <m/>
    <m/>
    <m/>
    <m/>
    <m/>
    <m/>
    <m/>
    <n v="5830"/>
    <m/>
    <m/>
    <n v="5830"/>
  </r>
  <r>
    <x v="1"/>
    <x v="0"/>
    <x v="1"/>
    <s v="Продажи"/>
    <s v="Расходы на персонал"/>
    <s v="Львов сети"/>
    <x v="2"/>
    <x v="7"/>
    <s v="Расходы на персонал"/>
    <x v="37"/>
    <m/>
    <m/>
    <m/>
    <m/>
    <m/>
    <m/>
    <m/>
    <m/>
    <m/>
    <m/>
    <m/>
    <m/>
    <n v="400"/>
    <n v="400"/>
    <n v="800"/>
  </r>
  <r>
    <x v="1"/>
    <x v="0"/>
    <x v="1"/>
    <s v="Продажи"/>
    <s v="Расходы на персонал"/>
    <s v="Львов сети"/>
    <x v="2"/>
    <x v="7"/>
    <s v="Расходы на персонал"/>
    <x v="29"/>
    <m/>
    <m/>
    <m/>
    <m/>
    <m/>
    <m/>
    <m/>
    <m/>
    <m/>
    <m/>
    <m/>
    <m/>
    <n v="3500"/>
    <n v="3500"/>
    <n v="7000"/>
  </r>
  <r>
    <x v="1"/>
    <x v="0"/>
    <x v="1"/>
    <s v="Продажи"/>
    <s v="Расходы на персонал"/>
    <s v="Львов сети"/>
    <x v="2"/>
    <x v="7"/>
    <s v="Расходы на персонал"/>
    <x v="26"/>
    <m/>
    <m/>
    <m/>
    <m/>
    <m/>
    <m/>
    <m/>
    <m/>
    <m/>
    <m/>
    <m/>
    <m/>
    <n v="6680"/>
    <n v="6680"/>
    <n v="13360"/>
  </r>
  <r>
    <x v="1"/>
    <x v="0"/>
    <x v="1"/>
    <s v="Продажи"/>
    <s v="Расходы на персонал"/>
    <s v="Национальные сети"/>
    <x v="2"/>
    <x v="7"/>
    <s v="Расходы на персонал"/>
    <x v="37"/>
    <m/>
    <m/>
    <n v="1200"/>
    <n v="1496.77"/>
    <n v="1400"/>
    <n v="1520"/>
    <n v="1509.68"/>
    <n v="1400"/>
    <n v="1200"/>
    <n v="1200"/>
    <n v="1200"/>
    <n v="600"/>
    <n v="800"/>
    <n v="800"/>
    <n v="14326.45"/>
  </r>
  <r>
    <x v="1"/>
    <x v="0"/>
    <x v="1"/>
    <s v="Продажи"/>
    <s v="Расходы на персонал"/>
    <s v="Национальные сети"/>
    <x v="2"/>
    <x v="7"/>
    <s v="Расходы на персонал"/>
    <x v="29"/>
    <m/>
    <m/>
    <n v="9251.5499999999993"/>
    <n v="10119.18"/>
    <n v="10692.76"/>
    <n v="9740.14"/>
    <n v="10070.11"/>
    <n v="8433.74"/>
    <n v="7172.87"/>
    <n v="9053.0499999999993"/>
    <n v="7034.57"/>
    <n v="13386.74"/>
    <n v="9000"/>
    <n v="9000"/>
    <n v="112954.71"/>
  </r>
  <r>
    <x v="1"/>
    <x v="0"/>
    <x v="1"/>
    <s v="Продажи"/>
    <s v="Расходы на персонал"/>
    <s v="Национальные сети"/>
    <x v="2"/>
    <x v="7"/>
    <s v="Расходы на персонал"/>
    <x v="26"/>
    <m/>
    <m/>
    <n v="3000"/>
    <n v="3000"/>
    <n v="3000"/>
    <n v="3000"/>
    <n v="3000"/>
    <n v="3500"/>
    <n v="3500"/>
    <n v="500"/>
    <n v="500"/>
    <m/>
    <n v="500"/>
    <n v="500"/>
    <n v="24000"/>
  </r>
  <r>
    <x v="1"/>
    <x v="0"/>
    <x v="1"/>
    <s v="Продажи"/>
    <s v="Расходы на персонал"/>
    <s v="Одесса"/>
    <x v="2"/>
    <x v="7"/>
    <s v="Расходы на персонал"/>
    <x v="37"/>
    <m/>
    <m/>
    <n v="200"/>
    <n v="600"/>
    <n v="400"/>
    <n v="400"/>
    <n v="400"/>
    <n v="400"/>
    <n v="400"/>
    <n v="400"/>
    <n v="400"/>
    <n v="400"/>
    <m/>
    <m/>
    <n v="4000"/>
  </r>
  <r>
    <x v="1"/>
    <x v="0"/>
    <x v="1"/>
    <s v="Продажи"/>
    <s v="Расходы на персонал"/>
    <s v="Одесса"/>
    <x v="2"/>
    <x v="7"/>
    <s v="Расходы на персонал"/>
    <x v="29"/>
    <m/>
    <m/>
    <n v="2348.7800000000002"/>
    <n v="2341.89"/>
    <n v="2323.79"/>
    <n v="2357.7800000000002"/>
    <n v="2330.2800000000002"/>
    <n v="2361"/>
    <n v="3758.11"/>
    <n v="2373.9699999999998"/>
    <n v="3689.49"/>
    <n v="3582.52"/>
    <n v="2400"/>
    <n v="2400"/>
    <n v="32267.610000000004"/>
  </r>
  <r>
    <x v="1"/>
    <x v="0"/>
    <x v="1"/>
    <s v="Продажи"/>
    <s v="Расходы на персонал"/>
    <s v="Одесса"/>
    <x v="2"/>
    <x v="7"/>
    <s v="Расходы на персонал"/>
    <x v="26"/>
    <m/>
    <m/>
    <m/>
    <m/>
    <m/>
    <m/>
    <m/>
    <m/>
    <m/>
    <n v="3000"/>
    <n v="3000"/>
    <n v="3000"/>
    <n v="3000"/>
    <n v="3000"/>
    <n v="15000"/>
  </r>
  <r>
    <x v="1"/>
    <x v="0"/>
    <x v="1"/>
    <s v="Продажи"/>
    <s v="Расходы на персонал"/>
    <s v="Харьков"/>
    <x v="2"/>
    <x v="7"/>
    <s v="Расходы на персонал"/>
    <x v="37"/>
    <m/>
    <m/>
    <n v="200"/>
    <n v="200"/>
    <n v="200"/>
    <n v="200"/>
    <n v="200"/>
    <n v="200"/>
    <n v="200"/>
    <n v="200"/>
    <n v="200"/>
    <n v="200"/>
    <m/>
    <m/>
    <n v="2000"/>
  </r>
  <r>
    <x v="1"/>
    <x v="0"/>
    <x v="1"/>
    <s v="Продажи"/>
    <s v="Расходы на персонал"/>
    <s v="Харьков"/>
    <x v="2"/>
    <x v="7"/>
    <s v="Расходы на персонал"/>
    <x v="29"/>
    <m/>
    <m/>
    <n v="1276.1099999999999"/>
    <n v="1276.1600000000001"/>
    <n v="1288.22"/>
    <n v="1281"/>
    <n v="1220.57"/>
    <n v="1291.4100000000001"/>
    <n v="1312.89"/>
    <n v="1653.18"/>
    <n v="1643.01"/>
    <n v="1647.65"/>
    <n v="1300"/>
    <n v="1300"/>
    <n v="16490.199999999997"/>
  </r>
  <r>
    <x v="1"/>
    <x v="0"/>
    <x v="1"/>
    <s v="Продажи"/>
    <s v="Расходы на персонал"/>
    <s v="Харьков"/>
    <x v="2"/>
    <x v="7"/>
    <s v="Расходы на персонал"/>
    <x v="26"/>
    <m/>
    <m/>
    <n v="1000"/>
    <n v="1000"/>
    <n v="1200"/>
    <n v="1000"/>
    <n v="1400"/>
    <n v="1200"/>
    <n v="1400"/>
    <n v="1400"/>
    <n v="1200"/>
    <n v="1400"/>
    <n v="1400"/>
    <n v="1400"/>
    <n v="15000"/>
  </r>
  <r>
    <x v="1"/>
    <x v="0"/>
    <x v="1"/>
    <s v="Продажи"/>
    <s v="Расходы на содержание автопарка"/>
    <s v="Холодильное оборудование"/>
    <x v="0"/>
    <x v="10"/>
    <s v="Ремонт и ТО транспорта"/>
    <x v="80"/>
    <m/>
    <m/>
    <m/>
    <m/>
    <m/>
    <m/>
    <m/>
    <m/>
    <m/>
    <m/>
    <m/>
    <n v="4053.96"/>
    <m/>
    <m/>
    <n v="4053.96"/>
  </r>
  <r>
    <x v="1"/>
    <x v="2"/>
    <x v="1"/>
    <s v="Продажи"/>
    <s v="Расходы на списание"/>
    <s v="Дистрибьюторы"/>
    <x v="1"/>
    <x v="22"/>
    <s v="Расходы на списание"/>
    <x v="73"/>
    <m/>
    <m/>
    <n v="7543.02766798419"/>
    <n v="48052.11"/>
    <n v="83262"/>
    <n v="53575.07"/>
    <n v="26235"/>
    <n v="32970"/>
    <n v="84599"/>
    <n v="76455.19"/>
    <n v="9279"/>
    <n v="4580"/>
    <n v="8547"/>
    <n v="8497"/>
    <n v="443594.39766798419"/>
  </r>
  <r>
    <x v="1"/>
    <x v="2"/>
    <x v="1"/>
    <s v="Продажи"/>
    <s v="Расходы на списание"/>
    <s v="Днепропетровск"/>
    <x v="2"/>
    <x v="22"/>
    <s v="Расходы на списание"/>
    <x v="73"/>
    <m/>
    <m/>
    <m/>
    <m/>
    <m/>
    <m/>
    <m/>
    <m/>
    <m/>
    <m/>
    <m/>
    <m/>
    <n v="10000"/>
    <n v="8000"/>
    <n v="18000"/>
  </r>
  <r>
    <x v="1"/>
    <x v="2"/>
    <x v="1"/>
    <s v="Продажи"/>
    <s v="Расходы на списание"/>
    <s v="Донецк"/>
    <x v="2"/>
    <x v="22"/>
    <s v="Расходы на списание"/>
    <x v="73"/>
    <m/>
    <m/>
    <m/>
    <m/>
    <m/>
    <m/>
    <m/>
    <m/>
    <m/>
    <m/>
    <m/>
    <m/>
    <n v="4500"/>
    <n v="6640"/>
    <n v="11140"/>
  </r>
  <r>
    <x v="1"/>
    <x v="2"/>
    <x v="1"/>
    <s v="Продажи"/>
    <s v="Расходы на списание"/>
    <s v="Киев"/>
    <x v="2"/>
    <x v="22"/>
    <s v="Расходы на списание"/>
    <x v="73"/>
    <m/>
    <m/>
    <m/>
    <m/>
    <m/>
    <m/>
    <m/>
    <m/>
    <m/>
    <m/>
    <m/>
    <m/>
    <n v="25000"/>
    <n v="30000"/>
    <n v="55000"/>
  </r>
  <r>
    <x v="1"/>
    <x v="2"/>
    <x v="1"/>
    <s v="Продажи"/>
    <s v="Расходы на списание"/>
    <s v="Львов сети"/>
    <x v="2"/>
    <x v="22"/>
    <s v="Расходы на списание"/>
    <x v="73"/>
    <m/>
    <m/>
    <m/>
    <m/>
    <m/>
    <m/>
    <m/>
    <m/>
    <m/>
    <m/>
    <m/>
    <m/>
    <n v="9700"/>
    <n v="9700"/>
    <n v="19400"/>
  </r>
  <r>
    <x v="1"/>
    <x v="2"/>
    <x v="1"/>
    <s v="Продажи"/>
    <s v="Расходы на списание"/>
    <s v="Национальные сети"/>
    <x v="2"/>
    <x v="22"/>
    <s v="Расходы на списание"/>
    <x v="73"/>
    <m/>
    <m/>
    <n v="48585.972332015808"/>
    <m/>
    <m/>
    <m/>
    <n v="602.29999999999995"/>
    <m/>
    <m/>
    <m/>
    <n v="54687.45"/>
    <n v="74972.67"/>
    <n v="3000"/>
    <n v="3000"/>
    <n v="184848.39233201579"/>
  </r>
  <r>
    <x v="1"/>
    <x v="2"/>
    <x v="1"/>
    <s v="Продажи"/>
    <s v="Расходы на списание"/>
    <s v="Национальные сети"/>
    <x v="2"/>
    <x v="22"/>
    <s v="Расходы на списание"/>
    <x v="73"/>
    <m/>
    <m/>
    <n v="47582.710537049359"/>
    <n v="52266.327721583708"/>
    <n v="54019.630422949624"/>
    <n v="66155.135133941731"/>
    <n v="107915.35761395391"/>
    <n v="135765.67289277317"/>
    <n v="107494.93993484222"/>
    <n v="89887.618199648728"/>
    <n v="57800.803489405735"/>
    <n v="51146.066858413353"/>
    <n v="48642.44767809911"/>
    <n v="62162.600271881063"/>
    <n v="880839.31075454177"/>
  </r>
  <r>
    <x v="1"/>
    <x v="2"/>
    <x v="1"/>
    <s v="Продажи"/>
    <s v="Расходы на списание"/>
    <s v="Харьков"/>
    <x v="2"/>
    <x v="22"/>
    <s v="Расходы на списание"/>
    <x v="73"/>
    <m/>
    <m/>
    <m/>
    <m/>
    <m/>
    <m/>
    <m/>
    <m/>
    <m/>
    <m/>
    <m/>
    <m/>
    <n v="4995"/>
    <n v="4995"/>
    <n v="9990"/>
  </r>
  <r>
    <x v="1"/>
    <x v="0"/>
    <x v="1"/>
    <s v="Продажи"/>
    <s v="Расходы на услуги сторонних организаций"/>
    <s v="Дистрибьюторы"/>
    <x v="1"/>
    <x v="8"/>
    <s v="Расходы на услуги сторонних организаций"/>
    <x v="27"/>
    <m/>
    <m/>
    <n v="56"/>
    <n v="51"/>
    <n v="102329.56"/>
    <m/>
    <n v="2262.23"/>
    <n v="347.53"/>
    <n v="672.66"/>
    <n v="400"/>
    <n v="418"/>
    <n v="363.85"/>
    <m/>
    <m/>
    <n v="106900.83"/>
  </r>
  <r>
    <x v="1"/>
    <x v="0"/>
    <x v="1"/>
    <s v="Продажи"/>
    <s v="Расходы на услуги сторонних организаций"/>
    <s v="Дистрибьюторы"/>
    <x v="1"/>
    <x v="8"/>
    <s v="Расходы на услуги сторонних организаций"/>
    <x v="47"/>
    <m/>
    <m/>
    <n v="209.05"/>
    <n v="859"/>
    <n v="203"/>
    <n v="453"/>
    <n v="73"/>
    <n v="64"/>
    <m/>
    <n v="502"/>
    <n v="59"/>
    <m/>
    <m/>
    <m/>
    <n v="2422.0500000000002"/>
  </r>
  <r>
    <x v="1"/>
    <x v="0"/>
    <x v="1"/>
    <s v="Продажи"/>
    <s v="Расходы на услуги сторонних организаций"/>
    <s v="Дистрибьюторы"/>
    <x v="1"/>
    <x v="8"/>
    <s v="Расходы на услуги сторонних организаций"/>
    <x v="32"/>
    <m/>
    <m/>
    <n v="400"/>
    <m/>
    <n v="386.33"/>
    <n v="667"/>
    <n v="479"/>
    <n v="1024.4000000000001"/>
    <n v="743"/>
    <n v="1486"/>
    <n v="403.17"/>
    <n v="551.89"/>
    <n v="1000"/>
    <n v="1000"/>
    <n v="8140.79"/>
  </r>
  <r>
    <x v="1"/>
    <x v="0"/>
    <x v="1"/>
    <s v="Продажи"/>
    <s v="Расходы на услуги сторонних организаций"/>
    <s v="Днепропетровск"/>
    <x v="2"/>
    <x v="8"/>
    <s v="Расходы на услуги сторонних организаций"/>
    <x v="47"/>
    <m/>
    <m/>
    <m/>
    <n v="368"/>
    <n v="419.5"/>
    <m/>
    <n v="518"/>
    <n v="704"/>
    <n v="670.2"/>
    <n v="778"/>
    <n v="302.60000000000002"/>
    <n v="10.6"/>
    <n v="250"/>
    <n v="250"/>
    <n v="4270.8999999999996"/>
  </r>
  <r>
    <x v="1"/>
    <x v="0"/>
    <x v="1"/>
    <s v="Продажи"/>
    <s v="Расходы на услуги сторонних организаций"/>
    <s v="Днепропетровск"/>
    <x v="2"/>
    <x v="8"/>
    <s v="Расходы на услуги сторонних организаций"/>
    <x v="32"/>
    <m/>
    <m/>
    <n v="122.73"/>
    <n v="145.47"/>
    <n v="148.78"/>
    <n v="96.74"/>
    <n v="150.47"/>
    <n v="154.5"/>
    <n v="121.28"/>
    <n v="149.47999999999999"/>
    <n v="93.93"/>
    <n v="142"/>
    <n v="300"/>
    <n v="650"/>
    <n v="2275.38"/>
  </r>
  <r>
    <x v="1"/>
    <x v="0"/>
    <x v="1"/>
    <s v="Продажи"/>
    <s v="Расходы на услуги сторонних организаций"/>
    <s v="Донецк"/>
    <x v="2"/>
    <x v="8"/>
    <s v="Расходы на услуги сторонних организаций"/>
    <x v="27"/>
    <m/>
    <m/>
    <m/>
    <m/>
    <m/>
    <m/>
    <m/>
    <m/>
    <m/>
    <m/>
    <m/>
    <m/>
    <n v="300"/>
    <m/>
    <n v="300"/>
  </r>
  <r>
    <x v="1"/>
    <x v="0"/>
    <x v="1"/>
    <s v="Продажи"/>
    <s v="Расходы на услуги сторонних организаций"/>
    <s v="Донецк"/>
    <x v="2"/>
    <x v="8"/>
    <s v="Расходы на услуги сторонних организаций"/>
    <x v="47"/>
    <m/>
    <m/>
    <n v="409"/>
    <n v="362"/>
    <n v="574"/>
    <n v="275"/>
    <n v="812"/>
    <n v="458"/>
    <n v="768"/>
    <n v="484"/>
    <n v="180"/>
    <n v="75"/>
    <n v="700"/>
    <m/>
    <n v="5097"/>
  </r>
  <r>
    <x v="1"/>
    <x v="0"/>
    <x v="1"/>
    <s v="Продажи"/>
    <s v="Расходы на услуги сторонних организаций"/>
    <s v="Донецк"/>
    <x v="2"/>
    <x v="8"/>
    <s v="Расходы на услуги сторонних организаций"/>
    <x v="32"/>
    <m/>
    <m/>
    <m/>
    <n v="50"/>
    <n v="50"/>
    <n v="50"/>
    <n v="99"/>
    <n v="144.33000000000001"/>
    <n v="50"/>
    <m/>
    <m/>
    <m/>
    <n v="100"/>
    <n v="100"/>
    <n v="643.33000000000004"/>
  </r>
  <r>
    <x v="1"/>
    <x v="0"/>
    <x v="1"/>
    <s v="Продажи"/>
    <s v="Расходы на услуги сторонних организаций"/>
    <s v="Киев"/>
    <x v="2"/>
    <x v="8"/>
    <s v="Расходы на услуги сторонних организаций"/>
    <x v="27"/>
    <m/>
    <m/>
    <n v="3974.48"/>
    <n v="3742.62"/>
    <m/>
    <m/>
    <m/>
    <m/>
    <m/>
    <m/>
    <m/>
    <m/>
    <m/>
    <m/>
    <n v="7717.1"/>
  </r>
  <r>
    <x v="1"/>
    <x v="0"/>
    <x v="1"/>
    <s v="Продажи"/>
    <s v="Расходы на услуги сторонних организаций"/>
    <s v="Киев"/>
    <x v="2"/>
    <x v="8"/>
    <s v="Расходы на услуги сторонних организаций"/>
    <x v="47"/>
    <m/>
    <m/>
    <m/>
    <m/>
    <n v="500"/>
    <n v="1380"/>
    <n v="500"/>
    <m/>
    <n v="298"/>
    <m/>
    <n v="300"/>
    <n v="203"/>
    <n v="300"/>
    <n v="300"/>
    <n v="3781"/>
  </r>
  <r>
    <x v="1"/>
    <x v="0"/>
    <x v="1"/>
    <s v="Продажи"/>
    <s v="Расходы на услуги сторонних организаций"/>
    <s v="Львов"/>
    <x v="2"/>
    <x v="8"/>
    <s v="Расходы на услуги сторонних организаций"/>
    <x v="27"/>
    <m/>
    <m/>
    <n v="400"/>
    <m/>
    <m/>
    <m/>
    <m/>
    <m/>
    <m/>
    <m/>
    <m/>
    <m/>
    <m/>
    <m/>
    <n v="400"/>
  </r>
  <r>
    <x v="1"/>
    <x v="0"/>
    <x v="1"/>
    <s v="Продажи"/>
    <s v="Расходы на услуги сторонних организаций"/>
    <s v="Львов"/>
    <x v="2"/>
    <x v="8"/>
    <s v="Расходы на услуги сторонних организаций"/>
    <x v="47"/>
    <m/>
    <m/>
    <n v="852"/>
    <n v="274"/>
    <n v="217"/>
    <n v="710.39"/>
    <n v="425"/>
    <n v="117"/>
    <n v="133"/>
    <n v="80"/>
    <m/>
    <m/>
    <m/>
    <m/>
    <n v="2808.39"/>
  </r>
  <r>
    <x v="1"/>
    <x v="0"/>
    <x v="1"/>
    <s v="Продажи"/>
    <s v="Расходы на услуги сторонних организаций"/>
    <s v="Львов"/>
    <x v="2"/>
    <x v="8"/>
    <s v="Расходы на услуги сторонних организаций"/>
    <x v="32"/>
    <m/>
    <m/>
    <n v="200"/>
    <m/>
    <m/>
    <n v="445.98"/>
    <m/>
    <m/>
    <m/>
    <m/>
    <n v="150"/>
    <m/>
    <m/>
    <m/>
    <n v="795.98"/>
  </r>
  <r>
    <x v="1"/>
    <x v="0"/>
    <x v="1"/>
    <s v="Продажи"/>
    <s v="Расходы на услуги сторонних организаций"/>
    <s v="Львов"/>
    <x v="0"/>
    <x v="8"/>
    <s v="Расходы на услуги сторонних организаций"/>
    <x v="47"/>
    <m/>
    <m/>
    <m/>
    <m/>
    <m/>
    <m/>
    <m/>
    <m/>
    <m/>
    <m/>
    <m/>
    <n v="337"/>
    <m/>
    <m/>
    <n v="337"/>
  </r>
  <r>
    <x v="1"/>
    <x v="0"/>
    <x v="1"/>
    <s v="Продажи"/>
    <s v="Расходы на услуги сторонних организаций"/>
    <s v="Львов сети"/>
    <x v="2"/>
    <x v="8"/>
    <s v="Расходы на услуги сторонних организаций"/>
    <x v="47"/>
    <m/>
    <m/>
    <m/>
    <m/>
    <m/>
    <m/>
    <m/>
    <m/>
    <m/>
    <m/>
    <m/>
    <m/>
    <n v="250"/>
    <n v="250"/>
    <n v="500"/>
  </r>
  <r>
    <x v="1"/>
    <x v="0"/>
    <x v="1"/>
    <s v="Продажи"/>
    <s v="Расходы на услуги сторонних организаций"/>
    <s v="Львов сети"/>
    <x v="2"/>
    <x v="8"/>
    <s v="Расходы на услуги сторонних организаций"/>
    <x v="32"/>
    <m/>
    <m/>
    <m/>
    <m/>
    <m/>
    <m/>
    <m/>
    <m/>
    <m/>
    <m/>
    <m/>
    <m/>
    <n v="150"/>
    <m/>
    <n v="150"/>
  </r>
  <r>
    <x v="1"/>
    <x v="0"/>
    <x v="1"/>
    <s v="Продажи"/>
    <s v="Расходы на услуги сторонних организаций"/>
    <s v="Национальные сети"/>
    <x v="2"/>
    <x v="8"/>
    <s v="Расходы на услуги сторонних организаций"/>
    <x v="27"/>
    <m/>
    <m/>
    <n v="1000"/>
    <m/>
    <n v="670"/>
    <m/>
    <n v="1300"/>
    <n v="500"/>
    <n v="1120"/>
    <n v="1759"/>
    <n v="500"/>
    <m/>
    <m/>
    <m/>
    <n v="6849"/>
  </r>
  <r>
    <x v="1"/>
    <x v="0"/>
    <x v="1"/>
    <s v="Продажи"/>
    <s v="Расходы на услуги сторонних организаций"/>
    <s v="Национальные сети"/>
    <x v="2"/>
    <x v="8"/>
    <s v="Расходы на услуги сторонних организаций"/>
    <x v="47"/>
    <m/>
    <m/>
    <n v="7970.81"/>
    <n v="180"/>
    <n v="8317.09"/>
    <n v="490"/>
    <n v="25047.81"/>
    <n v="403"/>
    <n v="21036.82"/>
    <n v="27558"/>
    <n v="33389"/>
    <n v="57386.15"/>
    <m/>
    <m/>
    <n v="181778.68"/>
  </r>
  <r>
    <x v="1"/>
    <x v="0"/>
    <x v="1"/>
    <s v="Продажи"/>
    <s v="Расходы на услуги сторонних организаций"/>
    <s v="Национальные сети"/>
    <x v="2"/>
    <x v="8"/>
    <s v="Расходы на услуги сторонних организаций"/>
    <x v="112"/>
    <m/>
    <m/>
    <m/>
    <m/>
    <m/>
    <m/>
    <m/>
    <m/>
    <n v="1183"/>
    <m/>
    <m/>
    <m/>
    <m/>
    <m/>
    <n v="1183"/>
  </r>
  <r>
    <x v="1"/>
    <x v="0"/>
    <x v="1"/>
    <s v="Продажи"/>
    <s v="Расходы на услуги сторонних организаций"/>
    <s v="Национальные сети"/>
    <x v="2"/>
    <x v="8"/>
    <s v="Расходы на услуги сторонних организаций"/>
    <x v="32"/>
    <m/>
    <m/>
    <n v="10"/>
    <m/>
    <m/>
    <n v="10"/>
    <m/>
    <m/>
    <m/>
    <m/>
    <m/>
    <m/>
    <m/>
    <m/>
    <n v="20"/>
  </r>
  <r>
    <x v="1"/>
    <x v="0"/>
    <x v="1"/>
    <s v="Продажи"/>
    <s v="Расходы на услуги сторонних организаций"/>
    <s v="Одесса"/>
    <x v="2"/>
    <x v="8"/>
    <s v="Расходы на услуги сторонних организаций"/>
    <x v="47"/>
    <m/>
    <m/>
    <m/>
    <n v="407"/>
    <n v="405"/>
    <n v="397"/>
    <n v="410"/>
    <m/>
    <m/>
    <n v="371"/>
    <m/>
    <m/>
    <m/>
    <m/>
    <n v="1990"/>
  </r>
  <r>
    <x v="1"/>
    <x v="0"/>
    <x v="1"/>
    <s v="Продажи"/>
    <s v="Расходы на услуги сторонних организаций"/>
    <s v="Трейд - маркетинг"/>
    <x v="0"/>
    <x v="8"/>
    <s v="Расходы на услуги сторонних организаций"/>
    <x v="47"/>
    <m/>
    <m/>
    <n v="311"/>
    <m/>
    <m/>
    <m/>
    <m/>
    <m/>
    <m/>
    <m/>
    <m/>
    <m/>
    <m/>
    <m/>
    <n v="311"/>
  </r>
  <r>
    <x v="1"/>
    <x v="0"/>
    <x v="1"/>
    <s v="Продажи"/>
    <s v="Расходы на услуги сторонних организаций"/>
    <s v="Харьков"/>
    <x v="2"/>
    <x v="8"/>
    <s v="Расходы на услуги сторонних организаций"/>
    <x v="47"/>
    <m/>
    <m/>
    <m/>
    <m/>
    <n v="128"/>
    <n v="151"/>
    <n v="460"/>
    <n v="181"/>
    <n v="40"/>
    <n v="32"/>
    <n v="16"/>
    <m/>
    <n v="400"/>
    <n v="400"/>
    <n v="1808"/>
  </r>
  <r>
    <x v="1"/>
    <x v="0"/>
    <x v="1"/>
    <s v="Продажи"/>
    <s v="Расходы на услуги сторонних организаций"/>
    <s v="Харьков"/>
    <x v="2"/>
    <x v="8"/>
    <s v="Расходы на услуги сторонних организаций"/>
    <x v="32"/>
    <m/>
    <m/>
    <m/>
    <n v="50"/>
    <n v="50"/>
    <n v="50"/>
    <n v="48.96"/>
    <n v="48.65"/>
    <n v="50"/>
    <n v="50"/>
    <n v="49.3"/>
    <n v="46.1"/>
    <n v="50"/>
    <n v="50"/>
    <n v="543.01"/>
  </r>
  <r>
    <x v="1"/>
    <x v="0"/>
    <x v="1"/>
    <s v="Продажи"/>
    <s v="Ремонт ОС"/>
    <s v="Дистрибьюторы"/>
    <x v="1"/>
    <x v="17"/>
    <s v="Ремонт и ТО транспорта"/>
    <x v="80"/>
    <m/>
    <m/>
    <m/>
    <m/>
    <m/>
    <m/>
    <m/>
    <m/>
    <m/>
    <m/>
    <n v="4939.7"/>
    <m/>
    <m/>
    <m/>
    <n v="4939.7"/>
  </r>
  <r>
    <x v="1"/>
    <x v="0"/>
    <x v="1"/>
    <s v="Продажи"/>
    <s v="Ремонт ОС"/>
    <s v="Дистрибьюторы"/>
    <x v="1"/>
    <x v="17"/>
    <s v="Ремонт торговых ОС"/>
    <x v="66"/>
    <m/>
    <m/>
    <m/>
    <m/>
    <m/>
    <m/>
    <m/>
    <m/>
    <m/>
    <m/>
    <n v="2802.08"/>
    <m/>
    <m/>
    <m/>
    <n v="2802.08"/>
  </r>
  <r>
    <x v="1"/>
    <x v="0"/>
    <x v="1"/>
    <s v="Продажи"/>
    <s v="Ремонт ОС"/>
    <s v="Холодильное оборудование"/>
    <x v="0"/>
    <x v="17"/>
    <s v="Ремонт прочих ОС"/>
    <x v="65"/>
    <m/>
    <m/>
    <m/>
    <m/>
    <m/>
    <m/>
    <m/>
    <m/>
    <m/>
    <m/>
    <m/>
    <m/>
    <n v="15920"/>
    <n v="5124"/>
    <n v="21044"/>
  </r>
  <r>
    <x v="1"/>
    <x v="0"/>
    <x v="1"/>
    <s v="Продажи"/>
    <s v="Ремонт ОС"/>
    <s v="Холодильное оборудование"/>
    <x v="0"/>
    <x v="17"/>
    <s v="Ремонт торговых ОС"/>
    <x v="66"/>
    <m/>
    <m/>
    <m/>
    <m/>
    <m/>
    <m/>
    <m/>
    <m/>
    <m/>
    <m/>
    <m/>
    <n v="52975.839999999997"/>
    <n v="63669"/>
    <n v="34850"/>
    <n v="151494.84"/>
  </r>
  <r>
    <x v="1"/>
    <x v="0"/>
    <x v="1"/>
    <s v="Продажи"/>
    <s v="Услуги связи"/>
    <s v="Белая Церковь"/>
    <x v="2"/>
    <x v="4"/>
    <s v="Услуги связи"/>
    <x v="13"/>
    <m/>
    <m/>
    <n v="2051.46"/>
    <n v="1841.48"/>
    <n v="1855.13"/>
    <n v="1622.5"/>
    <n v="1626.96"/>
    <n v="1693.25"/>
    <n v="1808.68"/>
    <m/>
    <m/>
    <m/>
    <m/>
    <m/>
    <n v="12499.46"/>
  </r>
  <r>
    <x v="1"/>
    <x v="0"/>
    <x v="1"/>
    <s v="Продажи"/>
    <s v="Услуги связи"/>
    <s v="Белая Церковь"/>
    <x v="0"/>
    <x v="4"/>
    <s v="Услуги связи"/>
    <x v="13"/>
    <m/>
    <m/>
    <m/>
    <m/>
    <m/>
    <m/>
    <m/>
    <m/>
    <m/>
    <n v="1467.71"/>
    <m/>
    <m/>
    <m/>
    <m/>
    <n v="1467.71"/>
  </r>
  <r>
    <x v="1"/>
    <x v="0"/>
    <x v="1"/>
    <s v="Продажи"/>
    <s v="Услуги связи"/>
    <s v="Дистрибьюторы"/>
    <x v="1"/>
    <x v="4"/>
    <s v="Услуги связи"/>
    <x v="33"/>
    <m/>
    <m/>
    <m/>
    <m/>
    <m/>
    <m/>
    <m/>
    <m/>
    <m/>
    <m/>
    <m/>
    <m/>
    <n v="1930"/>
    <n v="1930"/>
    <n v="3860"/>
  </r>
  <r>
    <x v="1"/>
    <x v="0"/>
    <x v="1"/>
    <s v="Продажи"/>
    <s v="Услуги связи"/>
    <s v="Дистрибьюторы"/>
    <x v="1"/>
    <x v="4"/>
    <s v="Услуги связи"/>
    <x v="13"/>
    <m/>
    <m/>
    <n v="4715.0600000000004"/>
    <n v="4636.3"/>
    <n v="4904.3900000000003"/>
    <n v="5325.97"/>
    <n v="4799.84"/>
    <n v="4649.26"/>
    <n v="6630.93"/>
    <n v="4267.63"/>
    <n v="5117.1099999999997"/>
    <n v="6864.16"/>
    <n v="4960"/>
    <n v="4960"/>
    <n v="61830.649999999994"/>
  </r>
  <r>
    <x v="1"/>
    <x v="0"/>
    <x v="1"/>
    <s v="Продажи"/>
    <s v="Услуги связи"/>
    <s v="Дистрибьюторы"/>
    <x v="1"/>
    <x v="4"/>
    <s v="Услуги связи"/>
    <x v="39"/>
    <m/>
    <m/>
    <m/>
    <m/>
    <m/>
    <m/>
    <m/>
    <m/>
    <m/>
    <m/>
    <m/>
    <m/>
    <n v="400"/>
    <n v="400"/>
    <n v="800"/>
  </r>
  <r>
    <x v="1"/>
    <x v="0"/>
    <x v="1"/>
    <s v="Продажи"/>
    <s v="Услуги связи"/>
    <s v="Днепропетровск"/>
    <x v="2"/>
    <x v="4"/>
    <s v="Услуги связи"/>
    <x v="33"/>
    <m/>
    <m/>
    <m/>
    <m/>
    <m/>
    <m/>
    <m/>
    <m/>
    <m/>
    <m/>
    <m/>
    <n v="1850"/>
    <n v="240"/>
    <n v="480"/>
    <n v="2570"/>
  </r>
  <r>
    <x v="1"/>
    <x v="0"/>
    <x v="1"/>
    <s v="Продажи"/>
    <s v="Услуги связи"/>
    <s v="Днепропетровск"/>
    <x v="2"/>
    <x v="4"/>
    <s v="Услуги связи"/>
    <x v="13"/>
    <m/>
    <m/>
    <n v="1016.68"/>
    <n v="1007.58"/>
    <n v="1030.21"/>
    <n v="1329.19"/>
    <n v="1692.22"/>
    <n v="1796.68"/>
    <n v="1315.18"/>
    <n v="1096.56"/>
    <n v="1330.22"/>
    <n v="1171.3399999999999"/>
    <n v="505"/>
    <n v="1065"/>
    <n v="14355.859999999999"/>
  </r>
  <r>
    <x v="1"/>
    <x v="0"/>
    <x v="1"/>
    <s v="Продажи"/>
    <s v="Услуги связи"/>
    <s v="Днепропетровск"/>
    <x v="2"/>
    <x v="4"/>
    <s v="Услуги связи"/>
    <x v="39"/>
    <m/>
    <m/>
    <n v="204.13"/>
    <n v="498.07"/>
    <n v="100"/>
    <n v="201.16"/>
    <n v="196.28"/>
    <m/>
    <m/>
    <n v="201.82"/>
    <n v="199.19"/>
    <n v="401.88"/>
    <n v="300"/>
    <n v="300"/>
    <n v="2602.5300000000002"/>
  </r>
  <r>
    <x v="1"/>
    <x v="0"/>
    <x v="1"/>
    <s v="Продажи"/>
    <s v="Услуги связи"/>
    <s v="Донецк"/>
    <x v="2"/>
    <x v="4"/>
    <s v="Услуги связи"/>
    <x v="13"/>
    <m/>
    <m/>
    <n v="902.23"/>
    <n v="691.95"/>
    <n v="784.05"/>
    <n v="751.35"/>
    <n v="616.55999999999995"/>
    <n v="829"/>
    <n v="787.45"/>
    <n v="809.83"/>
    <n v="779.96"/>
    <n v="1020.22"/>
    <n v="922"/>
    <n v="892"/>
    <n v="9786.5999999999985"/>
  </r>
  <r>
    <x v="1"/>
    <x v="0"/>
    <x v="1"/>
    <s v="Продажи"/>
    <s v="Услуги связи"/>
    <s v="Донецк"/>
    <x v="2"/>
    <x v="4"/>
    <s v="Услуги связи"/>
    <x v="39"/>
    <m/>
    <m/>
    <n v="335"/>
    <m/>
    <n v="670"/>
    <n v="335"/>
    <n v="335"/>
    <n v="335"/>
    <n v="1215.06"/>
    <n v="1574"/>
    <n v="335"/>
    <n v="335"/>
    <n v="555"/>
    <n v="555"/>
    <n v="6579.0599999999995"/>
  </r>
  <r>
    <x v="1"/>
    <x v="0"/>
    <x v="1"/>
    <s v="Продажи"/>
    <s v="Услуги связи"/>
    <s v="Киев"/>
    <x v="2"/>
    <x v="4"/>
    <s v="Услуги связи"/>
    <x v="13"/>
    <m/>
    <m/>
    <n v="2198.84"/>
    <n v="2378"/>
    <n v="1954.87"/>
    <n v="2353.56"/>
    <n v="2130.75"/>
    <n v="2199.85"/>
    <n v="1997.4"/>
    <n v="1710.34"/>
    <n v="2160.92"/>
    <n v="1668.19"/>
    <n v="2168"/>
    <n v="2027"/>
    <n v="24947.719999999998"/>
  </r>
  <r>
    <x v="1"/>
    <x v="0"/>
    <x v="1"/>
    <s v="Продажи"/>
    <s v="Услуги связи"/>
    <s v="Киев Розница"/>
    <x v="2"/>
    <x v="4"/>
    <s v="Услуги связи"/>
    <x v="13"/>
    <m/>
    <m/>
    <n v="3136.86"/>
    <n v="4035.26"/>
    <n v="7616.45"/>
    <n v="16759.939999999999"/>
    <n v="4731.97"/>
    <n v="2948.78"/>
    <n v="6410.31"/>
    <m/>
    <m/>
    <m/>
    <m/>
    <m/>
    <n v="45639.569999999992"/>
  </r>
  <r>
    <x v="1"/>
    <x v="0"/>
    <x v="1"/>
    <s v="Продажи"/>
    <s v="Услуги связи"/>
    <s v="Киев Розница"/>
    <x v="0"/>
    <x v="4"/>
    <s v="Услуги связи"/>
    <x v="13"/>
    <m/>
    <m/>
    <m/>
    <m/>
    <m/>
    <m/>
    <m/>
    <m/>
    <m/>
    <n v="5997.96"/>
    <m/>
    <m/>
    <m/>
    <m/>
    <n v="5997.96"/>
  </r>
  <r>
    <x v="1"/>
    <x v="0"/>
    <x v="1"/>
    <s v="Продажи"/>
    <s v="Услуги связи"/>
    <s v="Львов"/>
    <x v="2"/>
    <x v="4"/>
    <s v="Услуги связи"/>
    <x v="13"/>
    <m/>
    <m/>
    <n v="739.79"/>
    <n v="896.83"/>
    <n v="959.37"/>
    <n v="788.38"/>
    <n v="860.48"/>
    <n v="1312.66"/>
    <n v="883.81"/>
    <n v="1007.29"/>
    <n v="1349.12"/>
    <m/>
    <m/>
    <m/>
    <n v="8797.73"/>
  </r>
  <r>
    <x v="1"/>
    <x v="0"/>
    <x v="1"/>
    <s v="Продажи"/>
    <s v="Услуги связи"/>
    <s v="Львов"/>
    <x v="0"/>
    <x v="4"/>
    <s v="Услуги связи"/>
    <x v="13"/>
    <m/>
    <m/>
    <m/>
    <m/>
    <m/>
    <m/>
    <m/>
    <m/>
    <m/>
    <m/>
    <m/>
    <n v="2007.65"/>
    <m/>
    <m/>
    <n v="2007.65"/>
  </r>
  <r>
    <x v="1"/>
    <x v="0"/>
    <x v="1"/>
    <s v="Продажи"/>
    <s v="Услуги связи"/>
    <s v="Львов сети"/>
    <x v="2"/>
    <x v="4"/>
    <s v="Услуги связи"/>
    <x v="13"/>
    <m/>
    <m/>
    <m/>
    <m/>
    <m/>
    <m/>
    <m/>
    <m/>
    <m/>
    <m/>
    <m/>
    <m/>
    <n v="488"/>
    <n v="488"/>
    <n v="976"/>
  </r>
  <r>
    <x v="1"/>
    <x v="0"/>
    <x v="1"/>
    <s v="Продажи"/>
    <s v="Услуги связи"/>
    <s v="Национальные сети"/>
    <x v="2"/>
    <x v="4"/>
    <s v="Услуги связи"/>
    <x v="13"/>
    <m/>
    <m/>
    <n v="2548.6799999999998"/>
    <n v="2613.06"/>
    <n v="2719.08"/>
    <n v="2410.09"/>
    <n v="2387.27"/>
    <n v="2192.94"/>
    <n v="2154.92"/>
    <n v="1991.09"/>
    <n v="2140.0500000000002"/>
    <n v="2199.98"/>
    <n v="2580"/>
    <n v="2580"/>
    <n v="28517.16"/>
  </r>
  <r>
    <x v="1"/>
    <x v="0"/>
    <x v="1"/>
    <s v="Продажи"/>
    <s v="Услуги связи"/>
    <s v="Одесса"/>
    <x v="2"/>
    <x v="4"/>
    <s v="Услуги связи"/>
    <x v="33"/>
    <m/>
    <m/>
    <m/>
    <m/>
    <m/>
    <m/>
    <m/>
    <m/>
    <m/>
    <m/>
    <m/>
    <m/>
    <n v="110"/>
    <n v="110"/>
    <n v="220"/>
  </r>
  <r>
    <x v="1"/>
    <x v="0"/>
    <x v="1"/>
    <s v="Продажи"/>
    <s v="Услуги связи"/>
    <s v="Одесса"/>
    <x v="2"/>
    <x v="4"/>
    <s v="Услуги связи"/>
    <x v="13"/>
    <m/>
    <m/>
    <n v="718.17"/>
    <n v="682.53"/>
    <n v="604.02"/>
    <n v="697.92"/>
    <n v="760.03"/>
    <n v="765.9"/>
    <n v="971.11"/>
    <n v="1013.38"/>
    <n v="1861.75"/>
    <n v="825.05"/>
    <n v="594"/>
    <n v="594"/>
    <n v="10087.859999999999"/>
  </r>
  <r>
    <x v="1"/>
    <x v="0"/>
    <x v="1"/>
    <s v="Продажи"/>
    <s v="Услуги связи"/>
    <s v="Трейд - маркетинг"/>
    <x v="0"/>
    <x v="4"/>
    <s v="Услуги связи"/>
    <x v="13"/>
    <m/>
    <m/>
    <n v="152.02000000000001"/>
    <m/>
    <m/>
    <m/>
    <m/>
    <m/>
    <m/>
    <m/>
    <m/>
    <m/>
    <m/>
    <m/>
    <n v="152.02000000000001"/>
  </r>
  <r>
    <x v="1"/>
    <x v="0"/>
    <x v="1"/>
    <s v="Продажи"/>
    <s v="Услуги связи"/>
    <s v="Харьков"/>
    <x v="2"/>
    <x v="4"/>
    <s v="Услуги связи"/>
    <x v="13"/>
    <m/>
    <m/>
    <n v="649.19000000000005"/>
    <n v="647.92999999999995"/>
    <n v="646.57000000000005"/>
    <n v="678.49"/>
    <n v="652.80999999999995"/>
    <n v="686.32"/>
    <n v="652.38"/>
    <n v="559.44000000000005"/>
    <n v="649.25"/>
    <n v="654.04"/>
    <n v="627"/>
    <n v="627"/>
    <n v="7730.420000000001"/>
  </r>
  <r>
    <x v="1"/>
    <x v="0"/>
    <x v="1"/>
    <s v="Продажи"/>
    <s v="Услуги связи"/>
    <s v="Харьков"/>
    <x v="2"/>
    <x v="4"/>
    <s v="Услуги связи"/>
    <x v="39"/>
    <m/>
    <m/>
    <m/>
    <m/>
    <m/>
    <m/>
    <m/>
    <m/>
    <m/>
    <m/>
    <m/>
    <m/>
    <n v="400"/>
    <n v="400"/>
    <n v="800"/>
  </r>
  <r>
    <x v="1"/>
    <x v="0"/>
    <x v="1"/>
    <s v="Продажи"/>
    <s v="Услуги связи"/>
    <s v="Холодильное оборудование"/>
    <x v="0"/>
    <x v="4"/>
    <s v="Услуги связи"/>
    <x v="13"/>
    <m/>
    <m/>
    <m/>
    <m/>
    <m/>
    <m/>
    <m/>
    <m/>
    <m/>
    <m/>
    <m/>
    <n v="340.13"/>
    <n v="380"/>
    <n v="380"/>
    <n v="1100.1300000000001"/>
  </r>
  <r>
    <x v="1"/>
    <x v="0"/>
    <x v="1"/>
    <s v="Продажи"/>
    <s v="Услуги связи"/>
    <s v="Черкассы"/>
    <x v="2"/>
    <x v="4"/>
    <s v="Услуги связи"/>
    <x v="13"/>
    <m/>
    <m/>
    <n v="979.73"/>
    <n v="977.41"/>
    <n v="1079.43"/>
    <n v="1074.78"/>
    <n v="1177.32"/>
    <n v="922.65"/>
    <n v="1222.0999999999999"/>
    <m/>
    <m/>
    <m/>
    <m/>
    <m/>
    <n v="7433.4199999999983"/>
  </r>
  <r>
    <x v="1"/>
    <x v="0"/>
    <x v="1"/>
    <s v="Продажи"/>
    <s v="Услуги связи"/>
    <s v="Черкассы"/>
    <x v="0"/>
    <x v="4"/>
    <s v="Услуги связи"/>
    <x v="13"/>
    <m/>
    <m/>
    <m/>
    <m/>
    <m/>
    <m/>
    <m/>
    <m/>
    <m/>
    <n v="1034.5899999999999"/>
    <m/>
    <m/>
    <m/>
    <m/>
    <n v="1034.5899999999999"/>
  </r>
  <r>
    <x v="1"/>
    <x v="0"/>
    <x v="1"/>
    <s v="Расходы на маркетинг"/>
    <s v="Маркетинговые исследования"/>
    <s v="Национальные сети"/>
    <x v="2"/>
    <x v="2"/>
    <s v="Маркетинговые исследования"/>
    <x v="3"/>
    <m/>
    <m/>
    <m/>
    <m/>
    <m/>
    <m/>
    <m/>
    <m/>
    <m/>
    <m/>
    <m/>
    <n v="15500"/>
    <m/>
    <m/>
    <n v="15500"/>
  </r>
  <r>
    <x v="1"/>
    <x v="0"/>
    <x v="1"/>
    <s v="Расходы на маркетинг"/>
    <s v="Расходы на рекламу и PR"/>
    <s v="Днепропетровск"/>
    <x v="2"/>
    <x v="2"/>
    <s v="Расходы на рекламу и PR"/>
    <x v="4"/>
    <m/>
    <m/>
    <m/>
    <m/>
    <m/>
    <m/>
    <m/>
    <m/>
    <m/>
    <n v="113.67"/>
    <m/>
    <m/>
    <m/>
    <m/>
    <n v="113.67"/>
  </r>
  <r>
    <x v="1"/>
    <x v="0"/>
    <x v="1"/>
    <s v="Расходы на маркетинг"/>
    <s v="Расходы на рекламу и PR"/>
    <s v="Трейд - маркетинг"/>
    <x v="0"/>
    <x v="2"/>
    <s v="Расходы на рекламу и PR"/>
    <x v="7"/>
    <m/>
    <m/>
    <n v="4500"/>
    <m/>
    <m/>
    <m/>
    <m/>
    <m/>
    <m/>
    <m/>
    <m/>
    <m/>
    <m/>
    <m/>
    <n v="4500"/>
  </r>
  <r>
    <x v="1"/>
    <x v="0"/>
    <x v="1"/>
    <s v="Расходы на маркетинг"/>
    <s v="Расходы на создание новых продуктов"/>
    <s v="Дистрибьюторы"/>
    <x v="1"/>
    <x v="2"/>
    <s v="Расходы на создание новых продуктов"/>
    <x v="10"/>
    <m/>
    <m/>
    <n v="1307.03"/>
    <m/>
    <n v="1360.98"/>
    <n v="539.28"/>
    <n v="1580.33"/>
    <n v="1162.93"/>
    <m/>
    <n v="974.41"/>
    <n v="320.92"/>
    <n v="491.95"/>
    <n v="1000"/>
    <n v="1000"/>
    <n v="9737.83"/>
  </r>
  <r>
    <x v="1"/>
    <x v="0"/>
    <x v="1"/>
    <s v="Расходы на маркетинг"/>
    <s v="Расходы на создание новых продуктов"/>
    <s v="Дистрибьюторы"/>
    <x v="1"/>
    <x v="2"/>
    <s v="Расходы на создание новых продуктов"/>
    <x v="11"/>
    <m/>
    <m/>
    <m/>
    <m/>
    <m/>
    <m/>
    <m/>
    <m/>
    <n v="1300"/>
    <m/>
    <m/>
    <m/>
    <m/>
    <m/>
    <n v="1300"/>
  </r>
  <r>
    <x v="1"/>
    <x v="0"/>
    <x v="1"/>
    <s v="Расходы на маркетинг"/>
    <s v="Расходы на создание новых продуктов"/>
    <s v="Днепропетровск"/>
    <x v="2"/>
    <x v="2"/>
    <s v="Расходы на создание новых продуктов"/>
    <x v="10"/>
    <m/>
    <m/>
    <m/>
    <m/>
    <m/>
    <m/>
    <m/>
    <m/>
    <m/>
    <m/>
    <n v="286.77999999999997"/>
    <m/>
    <m/>
    <n v="100"/>
    <n v="386.78"/>
  </r>
  <r>
    <x v="1"/>
    <x v="0"/>
    <x v="1"/>
    <s v="Расходы на маркетинг"/>
    <s v="Расходы на создание новых продуктов"/>
    <s v="Донецк"/>
    <x v="2"/>
    <x v="2"/>
    <s v="Расходы на создание новых продуктов"/>
    <x v="10"/>
    <m/>
    <m/>
    <m/>
    <m/>
    <n v="84.23"/>
    <m/>
    <m/>
    <m/>
    <m/>
    <m/>
    <m/>
    <m/>
    <m/>
    <m/>
    <n v="84.23"/>
  </r>
  <r>
    <x v="1"/>
    <x v="0"/>
    <x v="1"/>
    <s v="Расходы на маркетинг"/>
    <s v="Расходы на создание новых продуктов"/>
    <s v="Киев"/>
    <x v="2"/>
    <x v="2"/>
    <s v="Расходы на создание новых продуктов"/>
    <x v="10"/>
    <m/>
    <m/>
    <m/>
    <m/>
    <n v="872.68"/>
    <m/>
    <m/>
    <m/>
    <m/>
    <m/>
    <m/>
    <m/>
    <m/>
    <m/>
    <n v="872.68"/>
  </r>
  <r>
    <x v="1"/>
    <x v="0"/>
    <x v="1"/>
    <s v="Расходы на маркетинг"/>
    <s v="Расходы на создание новых продуктов"/>
    <s v="Национальные сети"/>
    <x v="2"/>
    <x v="2"/>
    <s v="Расходы на создание новых продуктов"/>
    <x v="10"/>
    <m/>
    <m/>
    <n v="189.91"/>
    <n v="1053.74"/>
    <m/>
    <n v="34.1"/>
    <n v="1611.87"/>
    <n v="600"/>
    <m/>
    <n v="151.25"/>
    <n v="309.70999999999998"/>
    <m/>
    <m/>
    <m/>
    <n v="3950.58"/>
  </r>
  <r>
    <x v="1"/>
    <x v="0"/>
    <x v="1"/>
    <s v="Расходы на маркетинг"/>
    <s v="Расходы на создание новых продуктов"/>
    <s v="Трейд - маркетинг"/>
    <x v="0"/>
    <x v="2"/>
    <s v="Расходы на создание новых продуктов"/>
    <x v="10"/>
    <m/>
    <m/>
    <n v="121.68"/>
    <m/>
    <m/>
    <m/>
    <m/>
    <m/>
    <m/>
    <m/>
    <m/>
    <m/>
    <m/>
    <m/>
    <n v="121.68"/>
  </r>
  <r>
    <x v="1"/>
    <x v="2"/>
    <x v="1"/>
    <s v="Расходы на трейд-маркетинг"/>
    <s v="Ввод новых позиций"/>
    <s v="Дистрибьюторы"/>
    <x v="1"/>
    <x v="14"/>
    <s v="Ввод новых позиций"/>
    <x v="82"/>
    <m/>
    <m/>
    <m/>
    <m/>
    <m/>
    <m/>
    <n v="287.33999999999997"/>
    <m/>
    <m/>
    <m/>
    <m/>
    <m/>
    <m/>
    <m/>
    <n v="287.33999999999997"/>
  </r>
  <r>
    <x v="1"/>
    <x v="0"/>
    <x v="1"/>
    <s v="Расходы на трейд-маркетинг"/>
    <s v="Ввод новых позиций"/>
    <s v="Днепропетровск"/>
    <x v="2"/>
    <x v="14"/>
    <s v="Ввод новых позиций"/>
    <x v="82"/>
    <m/>
    <m/>
    <m/>
    <m/>
    <m/>
    <m/>
    <m/>
    <m/>
    <m/>
    <n v="68.14"/>
    <m/>
    <m/>
    <m/>
    <m/>
    <n v="68.14"/>
  </r>
  <r>
    <x v="1"/>
    <x v="0"/>
    <x v="1"/>
    <s v="Расходы на трейд-маркетинг"/>
    <s v="Ввод новых позиций"/>
    <s v="Киев"/>
    <x v="2"/>
    <x v="14"/>
    <s v="Ввод новых позиций"/>
    <x v="82"/>
    <m/>
    <m/>
    <m/>
    <m/>
    <m/>
    <m/>
    <n v="164.58"/>
    <n v="20803.41"/>
    <m/>
    <m/>
    <m/>
    <m/>
    <m/>
    <m/>
    <n v="20967.990000000002"/>
  </r>
  <r>
    <x v="1"/>
    <x v="0"/>
    <x v="1"/>
    <s v="Расходы на трейд-маркетинг"/>
    <s v="Ввод новых позиций"/>
    <s v="Национальные сети"/>
    <x v="2"/>
    <x v="14"/>
    <s v="Ввод новых позиций"/>
    <x v="82"/>
    <m/>
    <m/>
    <n v="102921.14"/>
    <n v="175362.58"/>
    <n v="141859.34"/>
    <n v="1053527.7"/>
    <n v="66108.789999999994"/>
    <n v="42737.96"/>
    <n v="48367.05"/>
    <n v="144970"/>
    <n v="102361.18"/>
    <n v="84840"/>
    <n v="80000"/>
    <n v="80000"/>
    <n v="2123055.7399999998"/>
  </r>
  <r>
    <x v="1"/>
    <x v="0"/>
    <x v="1"/>
    <s v="Расходы на трейд-маркетинг"/>
    <s v="Вход в новые торговые точки"/>
    <s v="Национальные сети"/>
    <x v="2"/>
    <x v="14"/>
    <s v="Вход в новые торговые точки"/>
    <x v="83"/>
    <m/>
    <m/>
    <m/>
    <n v="36000"/>
    <n v="26000"/>
    <n v="5647.21"/>
    <n v="4000"/>
    <n v="40924.26"/>
    <n v="20852.14"/>
    <n v="20220"/>
    <n v="39323.51"/>
    <n v="37650"/>
    <n v="123000"/>
    <n v="70000"/>
    <n v="423617.12"/>
  </r>
  <r>
    <x v="1"/>
    <x v="2"/>
    <x v="1"/>
    <s v="Расходы на трейд-маркетинг"/>
    <s v="Оплата за размещение в тт"/>
    <s v="Дистрибьюторы"/>
    <x v="1"/>
    <x v="14"/>
    <s v="Оплата за размещение в тт"/>
    <x v="81"/>
    <m/>
    <m/>
    <m/>
    <n v="18030.45"/>
    <n v="8750"/>
    <n v="28123.82"/>
    <n v="104180.95"/>
    <n v="87999.21"/>
    <n v="67199.73"/>
    <n v="64981.3"/>
    <n v="59877.919999999998"/>
    <n v="17939.830000000002"/>
    <m/>
    <m/>
    <n v="457083.20999999996"/>
  </r>
  <r>
    <x v="1"/>
    <x v="0"/>
    <x v="1"/>
    <s v="Расходы на трейд-маркетинг"/>
    <s v="Оплата за размещение в тт"/>
    <s v="Днепропетровск"/>
    <x v="2"/>
    <x v="14"/>
    <s v="Оплата за размещение в тт"/>
    <x v="81"/>
    <m/>
    <m/>
    <m/>
    <m/>
    <m/>
    <m/>
    <n v="10417.31"/>
    <n v="10510"/>
    <n v="3687.8"/>
    <m/>
    <n v="1798.13"/>
    <m/>
    <m/>
    <m/>
    <n v="26413.239999999998"/>
  </r>
  <r>
    <x v="1"/>
    <x v="0"/>
    <x v="1"/>
    <s v="Расходы на трейд-маркетинг"/>
    <s v="Оплата за размещение в тт"/>
    <s v="Киев"/>
    <x v="2"/>
    <x v="14"/>
    <s v="Оплата за размещение в тт"/>
    <x v="81"/>
    <m/>
    <m/>
    <m/>
    <m/>
    <m/>
    <m/>
    <m/>
    <m/>
    <m/>
    <m/>
    <n v="300"/>
    <n v="300"/>
    <n v="500"/>
    <n v="500"/>
    <n v="1600"/>
  </r>
  <r>
    <x v="1"/>
    <x v="0"/>
    <x v="1"/>
    <s v="Расходы на трейд-маркетинг"/>
    <s v="Оплата за размещение в тт"/>
    <s v="Львов"/>
    <x v="2"/>
    <x v="14"/>
    <s v="Оплата за размещение в тт"/>
    <x v="81"/>
    <m/>
    <m/>
    <n v="1252.33"/>
    <m/>
    <m/>
    <m/>
    <m/>
    <n v="1155.07"/>
    <n v="855.78"/>
    <n v="2228.4899999999998"/>
    <m/>
    <m/>
    <m/>
    <m/>
    <n v="5491.6699999999992"/>
  </r>
  <r>
    <x v="1"/>
    <x v="0"/>
    <x v="1"/>
    <s v="Расходы на трейд-маркетинг"/>
    <s v="Оплата за размещение в тт"/>
    <s v="Национальные сети"/>
    <x v="2"/>
    <x v="14"/>
    <s v="Оплата за размещение в тт"/>
    <x v="81"/>
    <m/>
    <m/>
    <n v="207151.58"/>
    <n v="206584.4"/>
    <n v="195264"/>
    <n v="206620"/>
    <n v="200660"/>
    <n v="248060"/>
    <n v="221144"/>
    <n v="256368.52"/>
    <n v="237270"/>
    <n v="237768.99"/>
    <n v="262290"/>
    <n v="320090"/>
    <n v="2799271.49"/>
  </r>
  <r>
    <x v="1"/>
    <x v="2"/>
    <x v="1"/>
    <s v="Расходы на трейд-маркетинг"/>
    <s v="Транши по сетям"/>
    <s v="Дистрибьюторы"/>
    <x v="1"/>
    <x v="23"/>
    <s v="Транши по сетям"/>
    <x v="84"/>
    <m/>
    <m/>
    <m/>
    <m/>
    <m/>
    <m/>
    <m/>
    <m/>
    <m/>
    <m/>
    <n v="7374.69"/>
    <m/>
    <m/>
    <m/>
    <n v="7374.69"/>
  </r>
  <r>
    <x v="1"/>
    <x v="2"/>
    <x v="1"/>
    <s v="Расходы на трейд-маркетинг"/>
    <s v="Транши по сетям"/>
    <s v="Днепропетровск"/>
    <x v="2"/>
    <x v="23"/>
    <s v="Транши по сетям"/>
    <x v="84"/>
    <m/>
    <m/>
    <n v="70000"/>
    <m/>
    <m/>
    <m/>
    <m/>
    <m/>
    <m/>
    <m/>
    <m/>
    <m/>
    <m/>
    <m/>
    <n v="70000"/>
  </r>
  <r>
    <x v="1"/>
    <x v="2"/>
    <x v="1"/>
    <s v="Расходы на трейд-маркетинг"/>
    <s v="Транши по сетям"/>
    <s v="Киев"/>
    <x v="2"/>
    <x v="23"/>
    <s v="Транши по сетям"/>
    <x v="84"/>
    <m/>
    <m/>
    <n v="4756.05"/>
    <m/>
    <m/>
    <m/>
    <m/>
    <m/>
    <m/>
    <m/>
    <m/>
    <m/>
    <m/>
    <m/>
    <n v="4756.05"/>
  </r>
  <r>
    <x v="1"/>
    <x v="2"/>
    <x v="1"/>
    <s v="Расходы на трейд-маркетинг"/>
    <s v="Транши по сетям"/>
    <s v="Национальные сети"/>
    <x v="2"/>
    <x v="23"/>
    <s v="Транши по сетям"/>
    <x v="84"/>
    <m/>
    <m/>
    <n v="275829.49"/>
    <n v="629430.97"/>
    <n v="468916.87"/>
    <n v="956945.9"/>
    <n v="946791.39"/>
    <n v="1368469.66"/>
    <n v="1211397.1299999999"/>
    <n v="802380.56"/>
    <n v="865101.5"/>
    <n v="1182106.3"/>
    <n v="550480"/>
    <n v="566230"/>
    <n v="9824079.7700000014"/>
  </r>
  <r>
    <x v="1"/>
    <x v="2"/>
    <x v="1"/>
    <s v="Расходы на трейд-маркетинг"/>
    <s v="Транши по сетям"/>
    <s v="Харьков"/>
    <x v="2"/>
    <x v="23"/>
    <s v="Транши по сетям"/>
    <x v="84"/>
    <m/>
    <m/>
    <m/>
    <m/>
    <m/>
    <n v="700"/>
    <m/>
    <m/>
    <m/>
    <m/>
    <m/>
    <m/>
    <m/>
    <m/>
    <n v="700"/>
  </r>
  <r>
    <x v="1"/>
    <x v="2"/>
    <x v="1"/>
    <s v="Расходы на трейд-маркетинг"/>
    <s v="Трейд-маркетинг"/>
    <s v="Дистрибьюторы"/>
    <x v="1"/>
    <x v="14"/>
    <s v="Трейд-маркетинг"/>
    <x v="54"/>
    <m/>
    <m/>
    <n v="38218.5"/>
    <n v="40262.78"/>
    <n v="16619.16"/>
    <n v="874.07"/>
    <n v="54.84"/>
    <m/>
    <m/>
    <n v="1005"/>
    <m/>
    <m/>
    <m/>
    <m/>
    <n v="97034.35"/>
  </r>
  <r>
    <x v="1"/>
    <x v="2"/>
    <x v="1"/>
    <s v="Расходы на трейд-маркетинг"/>
    <s v="Трейд-маркетинг"/>
    <s v="Дистрибьюторы"/>
    <x v="1"/>
    <x v="14"/>
    <s v="Трейд-маркетинг"/>
    <x v="87"/>
    <m/>
    <m/>
    <m/>
    <m/>
    <n v="19670"/>
    <n v="36763.97"/>
    <n v="83394.929999999993"/>
    <n v="181877.84"/>
    <n v="191001.86"/>
    <n v="128934"/>
    <n v="34183.33"/>
    <n v="18369"/>
    <n v="61412"/>
    <m/>
    <n v="755606.92999999993"/>
  </r>
  <r>
    <x v="1"/>
    <x v="2"/>
    <x v="1"/>
    <s v="Расходы на трейд-маркетинг"/>
    <s v="Трейд-маркетинг"/>
    <s v="Дистрибьюторы"/>
    <x v="1"/>
    <x v="14"/>
    <s v="Трейд-маркетинг"/>
    <x v="55"/>
    <m/>
    <m/>
    <m/>
    <m/>
    <n v="4745"/>
    <n v="47757.919999999998"/>
    <n v="108253.09"/>
    <n v="167166.71"/>
    <n v="170487.99"/>
    <n v="141948.41"/>
    <n v="49737.33"/>
    <n v="18239.36"/>
    <n v="146032"/>
    <n v="78751.009999999995"/>
    <n v="933118.82"/>
  </r>
  <r>
    <x v="1"/>
    <x v="2"/>
    <x v="1"/>
    <s v="Расходы на трейд-маркетинг"/>
    <s v="Трейд-маркетинг"/>
    <s v="Дистрибьюторы"/>
    <x v="1"/>
    <x v="14"/>
    <s v="Трейд-маркетинг"/>
    <x v="88"/>
    <m/>
    <m/>
    <m/>
    <m/>
    <m/>
    <n v="229031.6"/>
    <n v="216371.14"/>
    <n v="108954.85"/>
    <n v="104282.92"/>
    <n v="60585.52"/>
    <n v="100791.26"/>
    <n v="6016"/>
    <n v="13000"/>
    <n v="11136"/>
    <n v="850169.29"/>
  </r>
  <r>
    <x v="1"/>
    <x v="2"/>
    <x v="1"/>
    <s v="Расходы на трейд-маркетинг"/>
    <s v="Трейд-маркетинг"/>
    <s v="Дистрибьюторы"/>
    <x v="1"/>
    <x v="14"/>
    <s v="Трейд-маркетинг"/>
    <x v="85"/>
    <m/>
    <m/>
    <m/>
    <m/>
    <m/>
    <m/>
    <m/>
    <m/>
    <m/>
    <n v="220.67"/>
    <m/>
    <n v="6346"/>
    <m/>
    <m/>
    <n v="6566.67"/>
  </r>
  <r>
    <x v="1"/>
    <x v="0"/>
    <x v="1"/>
    <s v="Расходы на трейд-маркетинг"/>
    <s v="Трейд-маркетинг"/>
    <s v="Днепропетровск"/>
    <x v="2"/>
    <x v="14"/>
    <s v="Трейд-маркетинг"/>
    <x v="54"/>
    <m/>
    <m/>
    <m/>
    <n v="56.56"/>
    <n v="340"/>
    <m/>
    <m/>
    <m/>
    <m/>
    <m/>
    <m/>
    <m/>
    <m/>
    <m/>
    <n v="396.56"/>
  </r>
  <r>
    <x v="1"/>
    <x v="0"/>
    <x v="1"/>
    <s v="Расходы на трейд-маркетинг"/>
    <s v="Трейд-маркетинг"/>
    <s v="Днепропетровск"/>
    <x v="2"/>
    <x v="14"/>
    <s v="Трейд-маркетинг"/>
    <x v="55"/>
    <m/>
    <m/>
    <m/>
    <m/>
    <m/>
    <n v="692.72"/>
    <n v="4225.92"/>
    <n v="8389.2000000000007"/>
    <n v="8400.4500000000007"/>
    <m/>
    <n v="6380.3"/>
    <m/>
    <m/>
    <m/>
    <n v="28088.59"/>
  </r>
  <r>
    <x v="1"/>
    <x v="0"/>
    <x v="1"/>
    <s v="Расходы на трейд-маркетинг"/>
    <s v="Трейд-маркетинг"/>
    <s v="Донецк"/>
    <x v="2"/>
    <x v="14"/>
    <s v="Трейд-маркетинг"/>
    <x v="54"/>
    <m/>
    <m/>
    <m/>
    <n v="50.45"/>
    <m/>
    <m/>
    <m/>
    <m/>
    <m/>
    <m/>
    <m/>
    <m/>
    <m/>
    <m/>
    <n v="50.45"/>
  </r>
  <r>
    <x v="1"/>
    <x v="0"/>
    <x v="1"/>
    <s v="Расходы на трейд-маркетинг"/>
    <s v="Трейд-маркетинг"/>
    <s v="Киев"/>
    <x v="2"/>
    <x v="14"/>
    <s v="Трейд-маркетинг"/>
    <x v="54"/>
    <m/>
    <m/>
    <m/>
    <m/>
    <n v="3579.14"/>
    <n v="2733.14"/>
    <n v="4193.66"/>
    <n v="4908.2"/>
    <n v="3339.48"/>
    <n v="5404.04"/>
    <n v="4937.04"/>
    <m/>
    <n v="5500"/>
    <n v="5500"/>
    <n v="40094.699999999997"/>
  </r>
  <r>
    <x v="1"/>
    <x v="0"/>
    <x v="1"/>
    <s v="Расходы на трейд-маркетинг"/>
    <s v="Трейд-маркетинг"/>
    <s v="Киев"/>
    <x v="2"/>
    <x v="14"/>
    <s v="Трейд-маркетинг"/>
    <x v="55"/>
    <m/>
    <m/>
    <m/>
    <m/>
    <m/>
    <m/>
    <m/>
    <m/>
    <n v="1963.01"/>
    <m/>
    <m/>
    <m/>
    <m/>
    <m/>
    <n v="1963.01"/>
  </r>
  <r>
    <x v="1"/>
    <x v="0"/>
    <x v="1"/>
    <s v="Расходы на трейд-маркетинг"/>
    <s v="Трейд-маркетинг"/>
    <s v="Львов"/>
    <x v="2"/>
    <x v="14"/>
    <s v="Трейд-маркетинг"/>
    <x v="88"/>
    <m/>
    <m/>
    <m/>
    <m/>
    <m/>
    <m/>
    <m/>
    <m/>
    <n v="865.25"/>
    <m/>
    <m/>
    <m/>
    <m/>
    <m/>
    <n v="865.25"/>
  </r>
  <r>
    <x v="1"/>
    <x v="0"/>
    <x v="1"/>
    <s v="Расходы на трейд-маркетинг"/>
    <s v="Трейд-маркетинг"/>
    <s v="Львов сети"/>
    <x v="2"/>
    <x v="14"/>
    <s v="Трейд-маркетинг"/>
    <x v="54"/>
    <m/>
    <m/>
    <m/>
    <m/>
    <m/>
    <m/>
    <m/>
    <m/>
    <m/>
    <m/>
    <m/>
    <m/>
    <n v="200"/>
    <n v="200"/>
    <n v="400"/>
  </r>
  <r>
    <x v="1"/>
    <x v="0"/>
    <x v="1"/>
    <s v="Расходы на трейд-маркетинг"/>
    <s v="Трейд-маркетинг"/>
    <s v="Национальные сети"/>
    <x v="2"/>
    <x v="14"/>
    <s v="Трейд-маркетинг"/>
    <x v="54"/>
    <m/>
    <m/>
    <n v="1227.28"/>
    <n v="2278.5700000000002"/>
    <n v="1215.83"/>
    <n v="4892.8599999999997"/>
    <n v="300.01"/>
    <n v="405.74"/>
    <n v="432.67"/>
    <n v="220.24"/>
    <n v="3371.03"/>
    <n v="4581"/>
    <n v="2000"/>
    <n v="2000"/>
    <n v="22925.230000000003"/>
  </r>
  <r>
    <x v="1"/>
    <x v="0"/>
    <x v="1"/>
    <s v="Расходы на трейд-маркетинг"/>
    <s v="Трейд-маркетинг"/>
    <s v="Национальные сети"/>
    <x v="2"/>
    <x v="14"/>
    <s v="Трейд-маркетинг"/>
    <x v="85"/>
    <m/>
    <m/>
    <m/>
    <m/>
    <m/>
    <n v="5568.9"/>
    <n v="17853.16"/>
    <n v="33805.699999999997"/>
    <n v="20169.310000000001"/>
    <n v="7359.68"/>
    <n v="4594.3999999999996"/>
    <n v="18765.2"/>
    <n v="35000"/>
    <n v="35000"/>
    <n v="178116.34999999998"/>
  </r>
  <r>
    <x v="1"/>
    <x v="0"/>
    <x v="1"/>
    <s v="Расходы на трейд-маркетинг"/>
    <s v="Трейд-маркетинг"/>
    <s v="Трейд - маркетинг"/>
    <x v="0"/>
    <x v="14"/>
    <s v="Трейд-маркетинг"/>
    <x v="49"/>
    <m/>
    <m/>
    <n v="81860.600000000006"/>
    <m/>
    <m/>
    <m/>
    <m/>
    <m/>
    <m/>
    <m/>
    <m/>
    <m/>
    <m/>
    <m/>
    <n v="81860.600000000006"/>
  </r>
  <r>
    <x v="1"/>
    <x v="0"/>
    <x v="1"/>
    <s v="Расходы на трейд-маркетинг"/>
    <s v="Трейд-маркетинг"/>
    <s v="Трейд - маркетинг"/>
    <x v="0"/>
    <x v="14"/>
    <s v="Трейд-маркетинг"/>
    <x v="54"/>
    <m/>
    <m/>
    <n v="16534.580000000002"/>
    <m/>
    <m/>
    <m/>
    <m/>
    <m/>
    <m/>
    <m/>
    <m/>
    <m/>
    <m/>
    <m/>
    <n v="16534.580000000002"/>
  </r>
  <r>
    <x v="1"/>
    <x v="0"/>
    <x v="1"/>
    <s v="Расходы на трейд-маркетинг"/>
    <s v="Трейд-маркетинг"/>
    <s v="Харьков"/>
    <x v="2"/>
    <x v="14"/>
    <s v="Трейд-маркетинг"/>
    <x v="54"/>
    <m/>
    <m/>
    <n v="594.61"/>
    <m/>
    <n v="873.66"/>
    <n v="641"/>
    <n v="745.93"/>
    <n v="115.58"/>
    <n v="228.24"/>
    <n v="459.02"/>
    <n v="59.87"/>
    <n v="294"/>
    <n v="1000"/>
    <n v="1300"/>
    <n v="6311.91"/>
  </r>
  <r>
    <x v="1"/>
    <x v="0"/>
    <x v="1"/>
    <s v="Расходы на трейд-маркетинг"/>
    <s v="Трейд-маркетинг"/>
    <s v="Холодильное оборудование"/>
    <x v="0"/>
    <x v="14"/>
    <s v="Трейд-маркетинг"/>
    <x v="122"/>
    <m/>
    <m/>
    <m/>
    <m/>
    <m/>
    <m/>
    <m/>
    <m/>
    <m/>
    <m/>
    <m/>
    <n v="4536"/>
    <m/>
    <m/>
    <n v="4536"/>
  </r>
  <r>
    <x v="1"/>
    <x v="2"/>
    <x v="1"/>
    <s v="Расходы по торговым точкам"/>
    <s v="Ретро-бонусы"/>
    <s v="Белая Церковь"/>
    <x v="2"/>
    <x v="23"/>
    <s v="Ретро-бонусы"/>
    <x v="86"/>
    <m/>
    <m/>
    <m/>
    <n v="1375.65"/>
    <n v="3459.17"/>
    <m/>
    <m/>
    <m/>
    <m/>
    <m/>
    <m/>
    <m/>
    <m/>
    <m/>
    <n v="4834.82"/>
  </r>
  <r>
    <x v="1"/>
    <x v="2"/>
    <x v="1"/>
    <s v="Расходы по торговым точкам"/>
    <s v="Ретро-бонусы"/>
    <s v="Дистрибьюторы"/>
    <x v="1"/>
    <x v="23"/>
    <s v="Ретро-бонусы"/>
    <x v="86"/>
    <m/>
    <m/>
    <n v="53801.17"/>
    <n v="27228.34"/>
    <n v="16745"/>
    <n v="28518"/>
    <n v="71640"/>
    <n v="76315"/>
    <n v="66494"/>
    <n v="44493"/>
    <n v="21219"/>
    <n v="10969"/>
    <n v="25250"/>
    <n v="25500"/>
    <n v="468172.51"/>
  </r>
  <r>
    <x v="1"/>
    <x v="2"/>
    <x v="1"/>
    <s v="Расходы по торговым точкам"/>
    <s v="Ретро-бонусы"/>
    <s v="Киев"/>
    <x v="2"/>
    <x v="23"/>
    <s v="Ретро-бонусы"/>
    <x v="86"/>
    <m/>
    <m/>
    <n v="5707.27"/>
    <m/>
    <m/>
    <m/>
    <m/>
    <m/>
    <m/>
    <m/>
    <m/>
    <m/>
    <m/>
    <m/>
    <n v="5707.27"/>
  </r>
  <r>
    <x v="1"/>
    <x v="2"/>
    <x v="1"/>
    <s v="Расходы по торговым точкам"/>
    <s v="Ретро-бонусы"/>
    <s v="Национальные сети"/>
    <x v="2"/>
    <x v="23"/>
    <s v="Ретро-бонусы"/>
    <x v="86"/>
    <m/>
    <m/>
    <n v="726115.22"/>
    <n v="710085.81"/>
    <n v="931407.42"/>
    <n v="1270737"/>
    <n v="2122294.92"/>
    <n v="2821544.12"/>
    <n v="2138350.91"/>
    <n v="2030786.76"/>
    <n v="1923386.25"/>
    <n v="766938.97"/>
    <n v="1445215"/>
    <n v="1400225"/>
    <n v="18287087.380000003"/>
  </r>
  <r>
    <x v="1"/>
    <x v="2"/>
    <x v="1"/>
    <s v="Расходы по торговым точкам"/>
    <s v="Ретро-бонусы"/>
    <s v="Одесса"/>
    <x v="2"/>
    <x v="23"/>
    <s v="Ретро-бонусы"/>
    <x v="86"/>
    <m/>
    <m/>
    <n v="472.36"/>
    <m/>
    <m/>
    <m/>
    <m/>
    <m/>
    <m/>
    <m/>
    <m/>
    <m/>
    <m/>
    <m/>
    <n v="472.36"/>
  </r>
  <r>
    <x v="1"/>
    <x v="2"/>
    <x v="1"/>
    <s v="Расходы по торговым точкам"/>
    <s v="Ретро-бонусы"/>
    <s v="Харьков"/>
    <x v="2"/>
    <x v="23"/>
    <s v="Ретро-бонусы"/>
    <x v="86"/>
    <m/>
    <m/>
    <n v="63.74"/>
    <m/>
    <m/>
    <n v="96.49"/>
    <m/>
    <m/>
    <m/>
    <m/>
    <m/>
    <m/>
    <m/>
    <m/>
    <n v="160.22999999999999"/>
  </r>
  <r>
    <x v="1"/>
    <x v="5"/>
    <x v="9"/>
    <s v="Продажи 1 категории"/>
    <s v="Продажи 1 категории"/>
    <s v="Продажи 1 категории"/>
    <x v="1"/>
    <x v="26"/>
    <s v="Продажи 1 категории"/>
    <x v="105"/>
    <m/>
    <m/>
    <n v="5098721.4300463917"/>
    <n v="7552081.04285469"/>
    <n v="7518949.8818210866"/>
    <n v="16267190.024404975"/>
    <n v="36271598.743488416"/>
    <n v="35208825.173500396"/>
    <n v="32194175.710036445"/>
    <n v="21279791.503981907"/>
    <n v="5694135.176107333"/>
    <n v="4848468.2110329"/>
    <n v="6749952.6425885605"/>
    <n v="5204592.1164005389"/>
    <n v="183888481.65626368"/>
  </r>
  <r>
    <x v="1"/>
    <x v="5"/>
    <x v="9"/>
    <s v="Продажи 1 категории"/>
    <s v="Продажи 1 категории"/>
    <s v="Продажи 1 категории"/>
    <x v="2"/>
    <x v="26"/>
    <s v="Продажи 1 категории"/>
    <x v="105"/>
    <m/>
    <m/>
    <n v="9682841.9701686446"/>
    <n v="10668057.273107486"/>
    <n v="10986860.65376669"/>
    <n v="13539147.262584731"/>
    <n v="22183179.094303284"/>
    <n v="27943512.042460632"/>
    <n v="21165611.744658589"/>
    <n v="18577624.800866153"/>
    <n v="11711882.847594064"/>
    <n v="10356428.832164763"/>
    <n v="9344536.5614109617"/>
    <n v="12160498.338006821"/>
    <n v="178320181.42109281"/>
  </r>
  <r>
    <x v="1"/>
    <x v="6"/>
    <x v="10"/>
    <s v="Продажи в КГ"/>
    <s v="Продажи в КГ"/>
    <s v="Продажи в КГ"/>
    <x v="1"/>
    <x v="27"/>
    <s v="Продажи в КГ"/>
    <x v="106"/>
    <m/>
    <m/>
    <n v="201950.11400000006"/>
    <n v="283176.73700000002"/>
    <n v="274871.391"/>
    <n v="503953.22100000031"/>
    <n v="1041816.0839999989"/>
    <n v="1019075.1009999993"/>
    <n v="883950.88699999894"/>
    <n v="625779.01"/>
    <n v="227469.14000000007"/>
    <n v="197482.21300000002"/>
    <n v="272557.15047210827"/>
    <n v="193550.58733626545"/>
    <n v="5725631.635808371"/>
  </r>
  <r>
    <x v="1"/>
    <x v="6"/>
    <x v="10"/>
    <s v="Продажи в КГ"/>
    <s v="Продажи в КГ"/>
    <s v="Продажи в КГ"/>
    <x v="2"/>
    <x v="27"/>
    <s v="Продажи в КГ"/>
    <x v="106"/>
    <m/>
    <m/>
    <n v="319577.08600000362"/>
    <n v="357009.40600000508"/>
    <n v="369501.99300000392"/>
    <n v="418726.95600000391"/>
    <n v="588462.39599997899"/>
    <n v="812578.93000000156"/>
    <n v="620226.66899996751"/>
    <n v="538918.94300000276"/>
    <n v="387036.77000000415"/>
    <n v="319571.05400000443"/>
    <n v="364569.54233080207"/>
    <n v="383059.65672603116"/>
    <n v="5479239.4020568095"/>
  </r>
  <r>
    <x v="1"/>
    <x v="0"/>
    <x v="6"/>
    <s v="Административная деятельность"/>
    <s v="Услуги связи"/>
    <s v="Директор производства"/>
    <x v="0"/>
    <x v="4"/>
    <s v="Услуги связи"/>
    <x v="13"/>
    <m/>
    <m/>
    <m/>
    <m/>
    <m/>
    <m/>
    <m/>
    <m/>
    <m/>
    <m/>
    <m/>
    <n v="64.150000000000006"/>
    <m/>
    <m/>
    <n v="64.150000000000006"/>
  </r>
  <r>
    <x v="1"/>
    <x v="0"/>
    <x v="6"/>
    <s v="Административная деятельность"/>
    <s v="Услуги связи"/>
    <s v="ИТ отдел"/>
    <x v="0"/>
    <x v="4"/>
    <s v="Услуги связи"/>
    <x v="13"/>
    <m/>
    <m/>
    <m/>
    <m/>
    <m/>
    <m/>
    <m/>
    <m/>
    <m/>
    <m/>
    <n v="269.69"/>
    <m/>
    <m/>
    <m/>
    <n v="269.69"/>
  </r>
  <r>
    <x v="1"/>
    <x v="0"/>
    <x v="6"/>
    <s v="Административная деятельность"/>
    <s v="Услуги связи"/>
    <s v="Служба главного энергетика"/>
    <x v="0"/>
    <x v="4"/>
    <s v="Услуги связи"/>
    <x v="13"/>
    <m/>
    <m/>
    <m/>
    <m/>
    <m/>
    <m/>
    <m/>
    <m/>
    <m/>
    <m/>
    <m/>
    <n v="204.21"/>
    <m/>
    <m/>
    <n v="204.21"/>
  </r>
  <r>
    <x v="1"/>
    <x v="0"/>
    <x v="6"/>
    <s v="Производственная деятельность"/>
    <s v="Аренда"/>
    <s v="Директор производства"/>
    <x v="0"/>
    <x v="9"/>
    <s v="Аренда"/>
    <x v="28"/>
    <m/>
    <m/>
    <m/>
    <m/>
    <m/>
    <m/>
    <m/>
    <m/>
    <m/>
    <m/>
    <m/>
    <m/>
    <n v="70"/>
    <n v="70"/>
    <n v="140"/>
  </r>
  <r>
    <x v="1"/>
    <x v="0"/>
    <x v="6"/>
    <s v="Производственная деятельность"/>
    <s v="Аренда"/>
    <s v="Служба главного энергетика"/>
    <x v="0"/>
    <x v="9"/>
    <s v="Аренда"/>
    <x v="28"/>
    <m/>
    <m/>
    <n v="800"/>
    <n v="800"/>
    <n v="800"/>
    <n v="800"/>
    <n v="800"/>
    <m/>
    <m/>
    <m/>
    <m/>
    <m/>
    <m/>
    <m/>
    <n v="4000"/>
  </r>
  <r>
    <x v="1"/>
    <x v="0"/>
    <x v="6"/>
    <s v="Производственная деятельность"/>
    <s v="Аренда"/>
    <s v="Служба механника Мороженого"/>
    <x v="0"/>
    <x v="9"/>
    <s v="Аренда"/>
    <x v="28"/>
    <m/>
    <m/>
    <n v="650"/>
    <n v="650"/>
    <n v="650"/>
    <n v="650"/>
    <n v="650"/>
    <m/>
    <m/>
    <m/>
    <m/>
    <m/>
    <m/>
    <m/>
    <n v="3250"/>
  </r>
  <r>
    <x v="1"/>
    <x v="0"/>
    <x v="6"/>
    <s v="Производственная деятельность"/>
    <s v="Аренда"/>
    <s v="Хозяйственный отдел завода"/>
    <x v="0"/>
    <x v="9"/>
    <s v="Аренда"/>
    <x v="28"/>
    <m/>
    <m/>
    <n v="5900"/>
    <n v="5900"/>
    <n v="7250"/>
    <n v="3750"/>
    <n v="5750"/>
    <n v="6100"/>
    <n v="7200"/>
    <n v="7200"/>
    <n v="7200"/>
    <n v="10200"/>
    <n v="9200"/>
    <n v="9200"/>
    <n v="84850"/>
  </r>
  <r>
    <x v="1"/>
    <x v="0"/>
    <x v="6"/>
    <s v="Производственная деятельность"/>
    <s v="Зарплата"/>
    <s v="Директор производства"/>
    <x v="0"/>
    <x v="0"/>
    <s v="Зарплата"/>
    <x v="0"/>
    <m/>
    <m/>
    <n v="33828.54"/>
    <n v="-52259.9"/>
    <n v="35618.93"/>
    <n v="32829.22"/>
    <n v="29678.13"/>
    <n v="36292.06"/>
    <n v="34251.25"/>
    <n v="36033.31"/>
    <n v="29176.87"/>
    <n v="36363.32"/>
    <n v="39023"/>
    <n v="39023"/>
    <n v="329857.73"/>
  </r>
  <r>
    <x v="1"/>
    <x v="0"/>
    <x v="6"/>
    <s v="Производственная деятельность"/>
    <s v="Зарплата"/>
    <s v="Директор производства"/>
    <x v="0"/>
    <x v="0"/>
    <s v="Зарплата"/>
    <x v="89"/>
    <m/>
    <m/>
    <m/>
    <n v="5000"/>
    <m/>
    <n v="2500"/>
    <n v="2500"/>
    <m/>
    <n v="2500"/>
    <n v="2500"/>
    <n v="2500"/>
    <n v="2500"/>
    <n v="2500"/>
    <n v="2500"/>
    <n v="25000"/>
  </r>
  <r>
    <x v="1"/>
    <x v="0"/>
    <x v="6"/>
    <s v="Производственная деятельность"/>
    <s v="Зарплата"/>
    <s v="КПП Завод"/>
    <x v="0"/>
    <x v="0"/>
    <s v="Зарплата"/>
    <x v="0"/>
    <m/>
    <m/>
    <n v="27802"/>
    <n v="28016.25"/>
    <n v="30127.599999999999"/>
    <n v="31230"/>
    <n v="30780"/>
    <n v="31030"/>
    <n v="30930"/>
    <n v="30380"/>
    <n v="30022.240000000002"/>
    <n v="30630"/>
    <n v="30380"/>
    <n v="30380"/>
    <n v="361708.09"/>
  </r>
  <r>
    <x v="1"/>
    <x v="0"/>
    <x v="6"/>
    <s v="Производственная деятельность"/>
    <s v="Зарплата"/>
    <s v="Лаборатория"/>
    <x v="0"/>
    <x v="0"/>
    <s v="Зарплата"/>
    <x v="0"/>
    <m/>
    <m/>
    <n v="16379.78"/>
    <n v="17859.400000000001"/>
    <n v="34539.050000000003"/>
    <n v="36942.839999999997"/>
    <n v="34365.15"/>
    <n v="36069.67"/>
    <n v="35001.29"/>
    <n v="28501.96"/>
    <n v="23113.119999999999"/>
    <n v="20556.509999999998"/>
    <n v="21916"/>
    <n v="21916"/>
    <n v="327160.77"/>
  </r>
  <r>
    <x v="1"/>
    <x v="0"/>
    <x v="6"/>
    <s v="Производственная деятельность"/>
    <s v="Зарплата"/>
    <s v="Руководитель технического отдела"/>
    <x v="0"/>
    <x v="0"/>
    <s v="Зарплата"/>
    <x v="0"/>
    <m/>
    <m/>
    <n v="30097.38"/>
    <n v="29930"/>
    <n v="31111"/>
    <n v="31111"/>
    <n v="28638.19"/>
    <n v="19987"/>
    <n v="19987"/>
    <n v="19822.669999999998"/>
    <n v="19987"/>
    <n v="19987"/>
    <n v="31111"/>
    <n v="31111"/>
    <n v="312880.24"/>
  </r>
  <r>
    <x v="1"/>
    <x v="0"/>
    <x v="6"/>
    <s v="Производственная деятельность"/>
    <s v="Зарплата"/>
    <s v="Служба главного энергетика"/>
    <x v="0"/>
    <x v="0"/>
    <s v="Зарплата"/>
    <x v="0"/>
    <m/>
    <m/>
    <n v="77453.81"/>
    <n v="75467.14"/>
    <n v="80534.64"/>
    <n v="83361.009999999995"/>
    <n v="83823.649999999994"/>
    <n v="86504.73"/>
    <n v="85671.7"/>
    <n v="79978.25"/>
    <n v="75439.02"/>
    <n v="72310.850000000006"/>
    <n v="78269"/>
    <n v="78269"/>
    <n v="957082.79999999993"/>
  </r>
  <r>
    <x v="1"/>
    <x v="0"/>
    <x v="6"/>
    <s v="Производственная деятельность"/>
    <s v="Зарплата"/>
    <s v="Служба главного энергетика"/>
    <x v="0"/>
    <x v="0"/>
    <s v="Зарплата"/>
    <x v="89"/>
    <m/>
    <m/>
    <m/>
    <m/>
    <m/>
    <m/>
    <m/>
    <m/>
    <m/>
    <m/>
    <m/>
    <m/>
    <n v="500"/>
    <n v="500"/>
    <n v="1000"/>
  </r>
  <r>
    <x v="1"/>
    <x v="0"/>
    <x v="6"/>
    <s v="Производственная деятельность"/>
    <s v="Зарплата"/>
    <s v="Служба заготовки молока"/>
    <x v="0"/>
    <x v="0"/>
    <s v="Зарплата"/>
    <x v="0"/>
    <m/>
    <m/>
    <n v="12114.31"/>
    <n v="12311.84"/>
    <n v="14315.34"/>
    <n v="14888.52"/>
    <n v="14349.04"/>
    <n v="19341.16"/>
    <n v="16975.349999999999"/>
    <n v="16441.02"/>
    <n v="15518.3"/>
    <n v="14862.18"/>
    <n v="11240"/>
    <n v="11240"/>
    <n v="173597.06000000003"/>
  </r>
  <r>
    <x v="1"/>
    <x v="0"/>
    <x v="6"/>
    <s v="Производственная деятельность"/>
    <s v="Зарплата"/>
    <s v="Служба заготовки молока"/>
    <x v="0"/>
    <x v="0"/>
    <s v="Зарплата"/>
    <x v="89"/>
    <m/>
    <m/>
    <m/>
    <m/>
    <m/>
    <m/>
    <m/>
    <m/>
    <m/>
    <m/>
    <m/>
    <m/>
    <n v="3260"/>
    <n v="2675"/>
    <n v="5935"/>
  </r>
  <r>
    <x v="1"/>
    <x v="0"/>
    <x v="6"/>
    <s v="Производственная деятельность"/>
    <s v="Зарплата"/>
    <s v="Служба механника ЗПФ"/>
    <x v="0"/>
    <x v="0"/>
    <s v="Зарплата"/>
    <x v="0"/>
    <m/>
    <m/>
    <n v="47285.99"/>
    <n v="57585.06"/>
    <n v="57076.83"/>
    <n v="66909.09"/>
    <n v="62189.3"/>
    <n v="68781.2"/>
    <n v="64532.46"/>
    <n v="81579.759999999995"/>
    <n v="77687.03"/>
    <n v="65501.4"/>
    <n v="79624"/>
    <n v="75480"/>
    <n v="804232.12000000011"/>
  </r>
  <r>
    <x v="1"/>
    <x v="0"/>
    <x v="6"/>
    <s v="Производственная деятельность"/>
    <s v="Зарплата"/>
    <s v="Служба механника Мороженого"/>
    <x v="0"/>
    <x v="0"/>
    <s v="Зарплата"/>
    <x v="0"/>
    <m/>
    <m/>
    <n v="74713.33"/>
    <n v="75920"/>
    <n v="78758.2"/>
    <n v="79310.070000000007"/>
    <n v="99584.47"/>
    <n v="107138.79"/>
    <n v="92811.45"/>
    <n v="81357.47"/>
    <n v="71994.259999999995"/>
    <n v="72668.009999999995"/>
    <n v="77404"/>
    <n v="57276"/>
    <n v="968936.05"/>
  </r>
  <r>
    <x v="1"/>
    <x v="0"/>
    <x v="6"/>
    <s v="Производственная деятельность"/>
    <s v="Зарплата"/>
    <s v="Служба.обслуж.холод.оборуд."/>
    <x v="0"/>
    <x v="0"/>
    <s v="Зарплата"/>
    <x v="0"/>
    <m/>
    <m/>
    <n v="39440"/>
    <n v="38870"/>
    <n v="41637"/>
    <n v="41537"/>
    <n v="43484.21"/>
    <n v="39394.33"/>
    <n v="41637"/>
    <n v="59217"/>
    <n v="41637"/>
    <n v="59641"/>
    <n v="59641"/>
    <n v="59641"/>
    <n v="565776.54"/>
  </r>
  <r>
    <x v="1"/>
    <x v="0"/>
    <x v="6"/>
    <s v="Производственная деятельность"/>
    <s v="Зарплата"/>
    <s v="Строит.и ремонтно.мех.участок"/>
    <x v="0"/>
    <x v="0"/>
    <s v="Зарплата"/>
    <x v="0"/>
    <m/>
    <m/>
    <n v="36177.230000000003"/>
    <n v="30455"/>
    <n v="31519.15"/>
    <n v="32887.82"/>
    <n v="33181"/>
    <n v="33043.47"/>
    <n v="32788.07"/>
    <n v="28732.99"/>
    <n v="27328"/>
    <n v="27328"/>
    <n v="27328"/>
    <n v="27328"/>
    <n v="368096.73"/>
  </r>
  <r>
    <x v="1"/>
    <x v="0"/>
    <x v="6"/>
    <s v="Производственная деятельность"/>
    <s v="Зарплата"/>
    <s v="Технолог ЗПФ"/>
    <x v="0"/>
    <x v="0"/>
    <s v="Зарплата"/>
    <x v="0"/>
    <m/>
    <m/>
    <n v="10160.65"/>
    <n v="10920"/>
    <n v="12432"/>
    <n v="12432"/>
    <n v="11684.21"/>
    <n v="12432"/>
    <n v="12432"/>
    <n v="12432"/>
    <n v="12432"/>
    <n v="12432"/>
    <n v="12432"/>
    <n v="17168"/>
    <n v="149388.85999999999"/>
  </r>
  <r>
    <x v="1"/>
    <x v="0"/>
    <x v="6"/>
    <s v="Производственная деятельность"/>
    <s v="Зарплата"/>
    <s v="Технолог Мороженое"/>
    <x v="0"/>
    <x v="0"/>
    <s v="Зарплата"/>
    <x v="0"/>
    <m/>
    <m/>
    <n v="14453.33"/>
    <n v="15400"/>
    <n v="17168"/>
    <n v="17168"/>
    <n v="17168"/>
    <n v="17168"/>
    <n v="17168"/>
    <n v="17168"/>
    <n v="17168"/>
    <n v="16963.330000000002"/>
    <n v="17168"/>
    <n v="17168"/>
    <n v="201328.66000000003"/>
  </r>
  <r>
    <x v="1"/>
    <x v="0"/>
    <x v="6"/>
    <s v="Производственная деятельность"/>
    <s v="Зарплата"/>
    <s v="Хозяйственный отдел завода"/>
    <x v="0"/>
    <x v="0"/>
    <s v="Зарплата"/>
    <x v="0"/>
    <m/>
    <m/>
    <n v="15515.36"/>
    <n v="16412"/>
    <n v="18299.36"/>
    <n v="18321.080000000002"/>
    <n v="18868.84"/>
    <n v="18617.91"/>
    <n v="18342.439999999999"/>
    <n v="18542.009999999998"/>
    <n v="17809.150000000001"/>
    <n v="18605.48"/>
    <n v="18812"/>
    <n v="18812"/>
    <n v="216957.63"/>
  </r>
  <r>
    <x v="1"/>
    <x v="0"/>
    <x v="1"/>
    <s v="Продажи"/>
    <s v="Зарплата"/>
    <s v="Холодильное оборудование"/>
    <x v="1"/>
    <x v="0"/>
    <s v="Зарплата"/>
    <x v="0"/>
    <m/>
    <m/>
    <m/>
    <m/>
    <m/>
    <m/>
    <m/>
    <m/>
    <n v="16581.13"/>
    <m/>
    <m/>
    <m/>
    <m/>
    <m/>
    <n v="16581.13"/>
  </r>
  <r>
    <x v="1"/>
    <x v="0"/>
    <x v="6"/>
    <s v="Производственная деятельность"/>
    <s v="Зарплата"/>
    <s v="Холодильное оборудование"/>
    <x v="0"/>
    <x v="0"/>
    <s v="Зарплата"/>
    <x v="0"/>
    <m/>
    <m/>
    <m/>
    <m/>
    <m/>
    <m/>
    <n v="27419.47"/>
    <m/>
    <m/>
    <m/>
    <n v="27325.02"/>
    <m/>
    <m/>
    <m/>
    <n v="54744.490000000005"/>
  </r>
  <r>
    <x v="1"/>
    <x v="2"/>
    <x v="6"/>
    <s v="Производственная деятельность"/>
    <s v="Зарплата"/>
    <s v="ЦЕХ производства ЗПФ"/>
    <x v="0"/>
    <x v="0"/>
    <s v="Зарплата"/>
    <x v="0"/>
    <m/>
    <m/>
    <n v="212499.35"/>
    <n v="233970.17"/>
    <n v="227667.39"/>
    <n v="260437.79"/>
    <n v="246121.1"/>
    <n v="259612.62"/>
    <n v="264641.78999999998"/>
    <n v="332379.24"/>
    <n v="307749.39"/>
    <n v="292417.48"/>
    <n v="312312"/>
    <n v="310258"/>
    <n v="3260066.32"/>
  </r>
  <r>
    <x v="1"/>
    <x v="2"/>
    <x v="6"/>
    <s v="Производственная деятельность"/>
    <s v="Зарплата"/>
    <s v="ЦЕХ производства мороженого"/>
    <x v="0"/>
    <x v="0"/>
    <s v="Зарплата"/>
    <x v="0"/>
    <m/>
    <m/>
    <n v="92056.16"/>
    <n v="153076.94"/>
    <n v="358939.06"/>
    <n v="492133.2"/>
    <n v="556926.06999999995"/>
    <n v="481078.99"/>
    <n v="447740.86"/>
    <n v="261086.73"/>
    <n v="132339.56"/>
    <n v="84742.83"/>
    <n v="117091"/>
    <n v="117091"/>
    <n v="3294302.4"/>
  </r>
  <r>
    <x v="1"/>
    <x v="0"/>
    <x v="6"/>
    <s v="Производственная деятельность"/>
    <s v="Командировочные расходы"/>
    <s v="КПП Завод"/>
    <x v="0"/>
    <x v="1"/>
    <s v="Командировочные расходы"/>
    <x v="1"/>
    <m/>
    <m/>
    <m/>
    <m/>
    <m/>
    <m/>
    <m/>
    <m/>
    <m/>
    <m/>
    <n v="146.83000000000001"/>
    <m/>
    <m/>
    <m/>
    <n v="146.83000000000001"/>
  </r>
  <r>
    <x v="1"/>
    <x v="0"/>
    <x v="6"/>
    <s v="Производственная деятельность"/>
    <s v="Командировочные расходы"/>
    <s v="Руководитель технического отдела"/>
    <x v="0"/>
    <x v="1"/>
    <s v="Командировочные расходы"/>
    <x v="1"/>
    <m/>
    <m/>
    <m/>
    <m/>
    <m/>
    <m/>
    <n v="16062"/>
    <m/>
    <m/>
    <m/>
    <m/>
    <m/>
    <m/>
    <m/>
    <n v="16062"/>
  </r>
  <r>
    <x v="1"/>
    <x v="0"/>
    <x v="6"/>
    <s v="Производственная деятельность"/>
    <s v="Командировочные расходы"/>
    <s v="Служба.обслуж.холод.оборуд."/>
    <x v="0"/>
    <x v="1"/>
    <s v="Командировочные расходы"/>
    <x v="1"/>
    <m/>
    <m/>
    <m/>
    <n v="300"/>
    <m/>
    <m/>
    <m/>
    <m/>
    <m/>
    <m/>
    <m/>
    <n v="500"/>
    <m/>
    <m/>
    <n v="800"/>
  </r>
  <r>
    <x v="1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35"/>
    <m/>
    <m/>
    <n v="5857.33"/>
    <n v="8910.1"/>
    <n v="11339.85"/>
    <n v="10897.61"/>
    <n v="12012.04"/>
    <n v="13061.05"/>
    <n v="11719.45"/>
    <n v="8964.85"/>
    <n v="11579.15"/>
    <n v="6115.63"/>
    <n v="15400"/>
    <n v="15400"/>
    <n v="131257.06"/>
  </r>
  <r>
    <x v="1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4"/>
    <m/>
    <m/>
    <n v="146095.67999999999"/>
    <n v="173296.9"/>
    <n v="214803.49"/>
    <n v="198559.43"/>
    <n v="133583.20000000001"/>
    <n v="111421.5"/>
    <n v="99247.16"/>
    <n v="64895.42"/>
    <n v="37150.89"/>
    <n v="76315.399999999994"/>
    <n v="117500"/>
    <n v="120000"/>
    <n v="1492869.0699999996"/>
  </r>
  <r>
    <x v="1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5"/>
    <m/>
    <m/>
    <n v="4173.6000000000004"/>
    <n v="6288"/>
    <n v="8282.4"/>
    <n v="7936.8"/>
    <n v="8500.7999999999993"/>
    <n v="10087.200000000001"/>
    <n v="8512.7999999999993"/>
    <n v="6588"/>
    <n v="8440.7999999999993"/>
    <n v="4600.8"/>
    <n v="12500"/>
    <n v="12500"/>
    <n v="98411.200000000012"/>
  </r>
  <r>
    <x v="1"/>
    <x v="2"/>
    <x v="6"/>
    <s v="Производственная деятельность"/>
    <s v="Коммунальные расходы"/>
    <s v="Служба главного энергетика"/>
    <x v="0"/>
    <x v="11"/>
    <s v="Коммунальные расходы"/>
    <x v="96"/>
    <m/>
    <m/>
    <n v="536225.37"/>
    <n v="603750.05000000005"/>
    <n v="669984.14"/>
    <n v="913789.61"/>
    <n v="948597.94"/>
    <n v="996740.16"/>
    <n v="956959.45"/>
    <n v="641373.68000000005"/>
    <n v="640650.14"/>
    <n v="465310.73"/>
    <n v="462000"/>
    <n v="450000"/>
    <n v="8285381.2699999996"/>
  </r>
  <r>
    <x v="1"/>
    <x v="0"/>
    <x v="6"/>
    <s v="Производственная деятельность"/>
    <s v="Коммунальные расходы"/>
    <s v="Хозяйственный отдел завода"/>
    <x v="0"/>
    <x v="11"/>
    <s v="Коммунальные расходы"/>
    <x v="101"/>
    <m/>
    <m/>
    <n v="654"/>
    <n v="756"/>
    <n v="2639"/>
    <n v="3552.5"/>
    <n v="3654"/>
    <n v="1839.32"/>
    <n v="2717.4"/>
    <n v="2458.6"/>
    <n v="1902.18"/>
    <n v="1177.54"/>
    <n v="2200"/>
    <n v="2000"/>
    <n v="25550.54"/>
  </r>
  <r>
    <x v="1"/>
    <x v="0"/>
    <x v="6"/>
    <s v="Производственная деятельность"/>
    <s v="Расходы на канцтовары и обслуживание оргтехники"/>
    <s v="Директор производства"/>
    <x v="0"/>
    <x v="6"/>
    <s v="Расходы на канцтовары и обслуживание оргтехники"/>
    <x v="17"/>
    <m/>
    <m/>
    <n v="608.54999999999995"/>
    <n v="707.08"/>
    <n v="794.73"/>
    <n v="900.31"/>
    <n v="768.05"/>
    <n v="940.67"/>
    <n v="795.24"/>
    <n v="743.67"/>
    <n v="796.46"/>
    <n v="821.91"/>
    <n v="650"/>
    <n v="700"/>
    <n v="9226.67"/>
  </r>
  <r>
    <x v="1"/>
    <x v="0"/>
    <x v="6"/>
    <s v="Производственная деятельность"/>
    <s v="Расходы на канцтовары и обслуживание оргтехники"/>
    <s v="КПП Завод"/>
    <x v="0"/>
    <x v="6"/>
    <s v="Расходы на канцтовары и обслуживание оргтехники"/>
    <x v="17"/>
    <m/>
    <m/>
    <n v="39.840000000000003"/>
    <n v="50.49"/>
    <n v="46.39"/>
    <n v="49.68"/>
    <n v="41.5"/>
    <n v="49.2"/>
    <n v="51.61"/>
    <n v="72.680000000000007"/>
    <n v="53.67"/>
    <m/>
    <n v="80"/>
    <n v="100"/>
    <n v="635.06000000000006"/>
  </r>
  <r>
    <x v="1"/>
    <x v="0"/>
    <x v="6"/>
    <s v="Производственная деятельность"/>
    <s v="Расходы на канцтовары и обслуживание оргтехники"/>
    <s v="Лаборатория"/>
    <x v="0"/>
    <x v="6"/>
    <s v="Расходы на канцтовары и обслуживание оргтехники"/>
    <x v="17"/>
    <m/>
    <m/>
    <n v="146.88"/>
    <n v="188.38"/>
    <n v="298.44"/>
    <n v="300.7"/>
    <n v="446.15"/>
    <n v="309.87"/>
    <n v="299.75"/>
    <n v="300.95999999999998"/>
    <n v="307.2"/>
    <n v="299.77999999999997"/>
    <n v="300"/>
    <n v="300"/>
    <n v="3498.1099999999997"/>
  </r>
  <r>
    <x v="1"/>
    <x v="0"/>
    <x v="6"/>
    <s v="Производственная деятельность"/>
    <s v="Расходы на канцтовары и обслуживание оргтехники"/>
    <s v="Руководитель технического отдела"/>
    <x v="0"/>
    <x v="6"/>
    <s v="Расходы на канцтовары и обслуживание оргтехники"/>
    <x v="17"/>
    <m/>
    <m/>
    <n v="124.11"/>
    <n v="127.26"/>
    <n v="140.25"/>
    <n v="148.81"/>
    <n v="123.66"/>
    <n v="198.91"/>
    <n v="200.34"/>
    <n v="239.7"/>
    <n v="98.67"/>
    <n v="141.19999999999999"/>
    <n v="200"/>
    <n v="200"/>
    <n v="1942.91"/>
  </r>
  <r>
    <x v="1"/>
    <x v="0"/>
    <x v="6"/>
    <s v="Производственная деятельность"/>
    <s v="Расходы на канцтовары и обслуживание оргтехники"/>
    <s v="Служба главного энергетика"/>
    <x v="0"/>
    <x v="6"/>
    <s v="Расходы на канцтовары и обслуживание оргтехники"/>
    <x v="17"/>
    <m/>
    <m/>
    <n v="93.06"/>
    <n v="99.6"/>
    <n v="96.31"/>
    <n v="108"/>
    <n v="187.74"/>
    <n v="198.88"/>
    <n v="190.99"/>
    <n v="98.07"/>
    <n v="100.55"/>
    <n v="200.51"/>
    <n v="200"/>
    <n v="200"/>
    <n v="1773.71"/>
  </r>
  <r>
    <x v="1"/>
    <x v="0"/>
    <x v="6"/>
    <s v="Производственная деятельность"/>
    <s v="Расходы на канцтовары и обслуживание оргтехники"/>
    <s v="Служба заготовки молока"/>
    <x v="0"/>
    <x v="6"/>
    <s v="Расходы на канцтовары и обслуживание оргтехники"/>
    <x v="17"/>
    <m/>
    <m/>
    <n v="94.51"/>
    <n v="101.1"/>
    <n v="161"/>
    <n v="334.4"/>
    <n v="76.099999999999994"/>
    <n v="198.2"/>
    <n v="391.56"/>
    <n v="132.6"/>
    <n v="200.9"/>
    <n v="226.86"/>
    <n v="200"/>
    <n v="200"/>
    <n v="2317.23"/>
  </r>
  <r>
    <x v="1"/>
    <x v="0"/>
    <x v="6"/>
    <s v="Производственная деятельность"/>
    <s v="Расходы на канцтовары и обслуживание оргтехники"/>
    <s v="Служба механника ЗПФ"/>
    <x v="0"/>
    <x v="6"/>
    <s v="Расходы на канцтовары и обслуживание оргтехники"/>
    <x v="17"/>
    <m/>
    <m/>
    <n v="47.76"/>
    <n v="58.89"/>
    <n v="55"/>
    <n v="57.96"/>
    <n v="48.89"/>
    <n v="62"/>
    <n v="42.6"/>
    <n v="59.8"/>
    <n v="60.25"/>
    <n v="58"/>
    <n v="60"/>
    <n v="60"/>
    <n v="671.15000000000009"/>
  </r>
  <r>
    <x v="1"/>
    <x v="0"/>
    <x v="6"/>
    <s v="Производственная деятельность"/>
    <s v="Расходы на канцтовары и обслуживание оргтехники"/>
    <s v="Служба механника Мороженого"/>
    <x v="0"/>
    <x v="6"/>
    <s v="Расходы на канцтовары и обслуживание оргтехники"/>
    <x v="17"/>
    <m/>
    <m/>
    <n v="60"/>
    <n v="58"/>
    <n v="53.14"/>
    <n v="60"/>
    <n v="55"/>
    <n v="64.150000000000006"/>
    <n v="50"/>
    <n v="59"/>
    <n v="60"/>
    <n v="114.5"/>
    <n v="60"/>
    <n v="60"/>
    <n v="753.79"/>
  </r>
  <r>
    <x v="1"/>
    <x v="0"/>
    <x v="6"/>
    <s v="Производственная деятельность"/>
    <s v="Расходы на канцтовары и обслуживание оргтехники"/>
    <s v="Служба.обслуж.холод.оборуд."/>
    <x v="0"/>
    <x v="6"/>
    <s v="Расходы на канцтовары и обслуживание оргтехники"/>
    <x v="17"/>
    <m/>
    <m/>
    <n v="50"/>
    <n v="72"/>
    <n v="135.15"/>
    <n v="148.71"/>
    <n v="116.1"/>
    <n v="147.87"/>
    <n v="137.69999999999999"/>
    <n v="96.48"/>
    <n v="95.34"/>
    <n v="142.74"/>
    <n v="150"/>
    <n v="150"/>
    <n v="1442.0900000000001"/>
  </r>
  <r>
    <x v="1"/>
    <x v="0"/>
    <x v="6"/>
    <s v="Производственная деятельность"/>
    <s v="Расходы на канцтовары и обслуживание оргтехники"/>
    <s v="Технолог ЗПФ"/>
    <x v="0"/>
    <x v="6"/>
    <s v="Расходы на канцтовары и обслуживание оргтехники"/>
    <x v="17"/>
    <m/>
    <m/>
    <n v="44.3"/>
    <n v="43"/>
    <n v="50"/>
    <n v="50"/>
    <n v="50"/>
    <n v="49.8"/>
    <n v="44.7"/>
    <n v="47"/>
    <n v="52.7"/>
    <n v="45"/>
    <n v="50"/>
    <n v="50"/>
    <n v="576.5"/>
  </r>
  <r>
    <x v="1"/>
    <x v="0"/>
    <x v="6"/>
    <s v="Производственная деятельность"/>
    <s v="Расходы на канцтовары и обслуживание оргтехники"/>
    <s v="Технолог Мороженое"/>
    <x v="0"/>
    <x v="6"/>
    <s v="Расходы на канцтовары и обслуживание оргтехники"/>
    <x v="17"/>
    <m/>
    <m/>
    <n v="40.840000000000003"/>
    <n v="47.73"/>
    <n v="98.04"/>
    <n v="101"/>
    <n v="87.72"/>
    <n v="104.28"/>
    <n v="103"/>
    <n v="47.14"/>
    <n v="52.85"/>
    <n v="49.14"/>
    <n v="50"/>
    <n v="50"/>
    <n v="831.74"/>
  </r>
  <r>
    <x v="1"/>
    <x v="0"/>
    <x v="6"/>
    <s v="Производственная деятельность"/>
    <s v="Расходы на канцтовары и обслуживание оргтехники"/>
    <s v="Хозяйственный отдел завода"/>
    <x v="0"/>
    <x v="6"/>
    <s v="Расходы на канцтовары и обслуживание оргтехники"/>
    <x v="17"/>
    <m/>
    <m/>
    <n v="30"/>
    <n v="25.71"/>
    <n v="30"/>
    <n v="28.32"/>
    <n v="25.34"/>
    <n v="32.520000000000003"/>
    <n v="29"/>
    <n v="26.7"/>
    <n v="27.93"/>
    <n v="30.5"/>
    <n v="30"/>
    <n v="30"/>
    <n v="346.02"/>
  </r>
  <r>
    <x v="1"/>
    <x v="0"/>
    <x v="6"/>
    <s v="Производственная деятельность"/>
    <s v="Расходы на канцтовары и обслуживание оргтехники"/>
    <s v="ЦЕХ производства ЗПФ"/>
    <x v="0"/>
    <x v="6"/>
    <s v="Расходы на канцтовары и обслуживание оргтехники"/>
    <x v="17"/>
    <m/>
    <m/>
    <n v="200"/>
    <n v="148.80000000000001"/>
    <n v="148.6"/>
    <n v="146.5"/>
    <n v="324.89999999999998"/>
    <n v="200"/>
    <n v="200"/>
    <n v="299.60000000000002"/>
    <n v="300"/>
    <n v="354.1"/>
    <n v="280"/>
    <n v="300"/>
    <n v="2902.5"/>
  </r>
  <r>
    <x v="1"/>
    <x v="0"/>
    <x v="6"/>
    <s v="Производственная деятельность"/>
    <s v="Расходы на канцтовары и обслуживание оргтехники"/>
    <s v="ЦЕХ производства мороженого"/>
    <x v="0"/>
    <x v="6"/>
    <s v="Расходы на канцтовары и обслуживание оргтехники"/>
    <x v="17"/>
    <m/>
    <m/>
    <n v="141.78"/>
    <n v="216.53"/>
    <n v="460.1"/>
    <n v="496.27"/>
    <n v="459.44"/>
    <n v="495.77"/>
    <n v="494.11"/>
    <n v="301.43"/>
    <n v="203.87"/>
    <n v="97.1"/>
    <n v="100"/>
    <n v="100"/>
    <n v="3566.4"/>
  </r>
  <r>
    <x v="1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41"/>
    <m/>
    <m/>
    <n v="662.25"/>
    <n v="453.75"/>
    <n v="307.17"/>
    <n v="676.75"/>
    <m/>
    <n v="1307.07"/>
    <n v="537.58000000000004"/>
    <n v="689.49"/>
    <n v="296.68"/>
    <n v="81.010000000000005"/>
    <n v="3200"/>
    <n v="1500"/>
    <n v="9711.75"/>
  </r>
  <r>
    <x v="1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98"/>
    <m/>
    <m/>
    <n v="1303.01"/>
    <m/>
    <m/>
    <m/>
    <m/>
    <m/>
    <m/>
    <m/>
    <m/>
    <m/>
    <m/>
    <m/>
    <n v="1303.01"/>
  </r>
  <r>
    <x v="1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91"/>
    <m/>
    <m/>
    <n v="6002.76"/>
    <n v="3993.08"/>
    <n v="7304.56"/>
    <n v="6033.11"/>
    <n v="4828.5"/>
    <n v="11892.5"/>
    <n v="3685.95"/>
    <n v="9664.61"/>
    <n v="5657.27"/>
    <n v="2938.8"/>
    <n v="6400"/>
    <n v="5500"/>
    <n v="73901.14"/>
  </r>
  <r>
    <x v="1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42"/>
    <m/>
    <m/>
    <n v="1913.07"/>
    <n v="4657.17"/>
    <n v="1663.4"/>
    <n v="2219.44"/>
    <n v="3558.95"/>
    <n v="34.380000000000003"/>
    <n v="2301.6799999999998"/>
    <n v="5968.3"/>
    <n v="10463.790000000001"/>
    <n v="8203.0300000000007"/>
    <n v="4000"/>
    <n v="4500"/>
    <n v="49483.21"/>
  </r>
  <r>
    <x v="1"/>
    <x v="2"/>
    <x v="6"/>
    <s v="Производственная деятельность"/>
    <s v="Расходы на контроль качества"/>
    <s v="Лаборатория"/>
    <x v="0"/>
    <x v="13"/>
    <s v="Расходы на контроль качества"/>
    <x v="92"/>
    <m/>
    <m/>
    <n v="1576.96"/>
    <n v="4105.51"/>
    <n v="3953.34"/>
    <n v="3994.55"/>
    <n v="4002.33"/>
    <n v="8001.36"/>
    <n v="5394.81"/>
    <n v="3549.6"/>
    <n v="1966.76"/>
    <n v="1934.11"/>
    <n v="2000"/>
    <n v="3000"/>
    <n v="43479.330000000009"/>
  </r>
  <r>
    <x v="1"/>
    <x v="0"/>
    <x v="6"/>
    <s v="Производственная деятельность"/>
    <s v="Расходы на контроль качества"/>
    <s v="Служба заготовки молока"/>
    <x v="0"/>
    <x v="13"/>
    <s v="Расходы на контроль качества"/>
    <x v="98"/>
    <m/>
    <m/>
    <m/>
    <m/>
    <m/>
    <m/>
    <m/>
    <m/>
    <m/>
    <n v="1140"/>
    <m/>
    <n v="438"/>
    <m/>
    <n v="300"/>
    <n v="1878"/>
  </r>
  <r>
    <x v="1"/>
    <x v="0"/>
    <x v="6"/>
    <s v="Производственная деятельность"/>
    <s v="Расходы на контроль качества"/>
    <s v="ЦЕХ производства ЗПФ"/>
    <x v="0"/>
    <x v="13"/>
    <s v="Расходы на контроль качества"/>
    <x v="98"/>
    <m/>
    <m/>
    <n v="4141.25"/>
    <n v="2111.7600000000002"/>
    <m/>
    <n v="6791.4"/>
    <n v="1314.07"/>
    <n v="2096.4"/>
    <m/>
    <n v="6006"/>
    <n v="3670.2"/>
    <n v="5151.1000000000004"/>
    <n v="8000"/>
    <n v="8000"/>
    <n v="47282.18"/>
  </r>
  <r>
    <x v="1"/>
    <x v="0"/>
    <x v="6"/>
    <s v="Производственная деятельность"/>
    <s v="Расходы на контроль качества"/>
    <s v="ЦЕХ производства ЗПФ"/>
    <x v="0"/>
    <x v="13"/>
    <s v="Расходы на контроль качества"/>
    <x v="42"/>
    <m/>
    <m/>
    <m/>
    <m/>
    <m/>
    <m/>
    <m/>
    <m/>
    <m/>
    <n v="8.8000000000000007"/>
    <m/>
    <m/>
    <m/>
    <m/>
    <n v="8.8000000000000007"/>
  </r>
  <r>
    <x v="1"/>
    <x v="0"/>
    <x v="6"/>
    <s v="Производственная деятельность"/>
    <s v="Расходы на контроль качества"/>
    <s v="ЦЕХ производства мороженого"/>
    <x v="0"/>
    <x v="13"/>
    <s v="Расходы на контроль качества"/>
    <x v="98"/>
    <m/>
    <m/>
    <n v="4813.1000000000004"/>
    <n v="3573.34"/>
    <n v="10269.4"/>
    <n v="15119.48"/>
    <n v="16154.39"/>
    <n v="18422.240000000002"/>
    <n v="15299.14"/>
    <n v="12306.78"/>
    <n v="5474.95"/>
    <n v="3136.19"/>
    <m/>
    <n v="2000"/>
    <n v="106569.01"/>
  </r>
  <r>
    <x v="1"/>
    <x v="0"/>
    <x v="6"/>
    <s v="Производственная деятельность"/>
    <s v="Расходы на контроль качества"/>
    <s v="ЦЕХ производства мороженого"/>
    <x v="0"/>
    <x v="13"/>
    <s v="Расходы на контроль качества"/>
    <x v="102"/>
    <m/>
    <m/>
    <m/>
    <m/>
    <n v="1809"/>
    <m/>
    <n v="1809"/>
    <n v="1809"/>
    <n v="5427"/>
    <m/>
    <m/>
    <m/>
    <m/>
    <m/>
    <n v="10854"/>
  </r>
  <r>
    <x v="1"/>
    <x v="0"/>
    <x v="6"/>
    <s v="Производственная деятельность"/>
    <s v="Расходы на логистику"/>
    <s v="Руководитель технического отдела"/>
    <x v="0"/>
    <x v="12"/>
    <s v="Расходы на транспортировку"/>
    <x v="93"/>
    <m/>
    <m/>
    <n v="386.34"/>
    <n v="518.58000000000004"/>
    <n v="1102.3900000000001"/>
    <n v="1288.23"/>
    <n v="1784.35"/>
    <n v="1257.29"/>
    <n v="1168.99"/>
    <n v="1059.43"/>
    <n v="1302.43"/>
    <n v="1437.59"/>
    <n v="850"/>
    <n v="1200"/>
    <n v="13355.619999999999"/>
  </r>
  <r>
    <x v="1"/>
    <x v="0"/>
    <x v="6"/>
    <s v="Производственная деятельность"/>
    <s v="Расходы на логистику"/>
    <s v="Хозяйственный отдел завода"/>
    <x v="0"/>
    <x v="12"/>
    <s v="Расходы на транспортировку"/>
    <x v="93"/>
    <m/>
    <m/>
    <n v="54.14"/>
    <n v="20.3"/>
    <n v="70.400000000000006"/>
    <m/>
    <n v="106.94"/>
    <n v="24.3"/>
    <n v="151.72"/>
    <n v="221.73"/>
    <n v="90.66"/>
    <m/>
    <n v="150"/>
    <n v="150"/>
    <n v="1040.19"/>
  </r>
  <r>
    <x v="1"/>
    <x v="0"/>
    <x v="6"/>
    <s v="Производственная деятельность"/>
    <s v="Расходы на логистику"/>
    <s v="ЦЕХ производства мороженого"/>
    <x v="0"/>
    <x v="12"/>
    <s v="Расходы на транспортировку"/>
    <x v="93"/>
    <m/>
    <m/>
    <m/>
    <m/>
    <n v="72"/>
    <m/>
    <m/>
    <m/>
    <m/>
    <m/>
    <m/>
    <m/>
    <m/>
    <m/>
    <n v="72"/>
  </r>
  <r>
    <x v="1"/>
    <x v="0"/>
    <x v="6"/>
    <s v="Производственная деятельность"/>
    <s v="Расходы на налоги"/>
    <s v="Директор производства"/>
    <x v="0"/>
    <x v="3"/>
    <s v="Расходы на налоги"/>
    <x v="12"/>
    <m/>
    <m/>
    <n v="1218.1021029184328"/>
    <n v="946.09394243846793"/>
    <n v="1735.9245778744953"/>
    <n v="1874.3423286525406"/>
    <n v="1602.3997935851578"/>
    <n v="1562.0441870640643"/>
    <n v="7892.5413959371281"/>
    <n v="1561.5418866170608"/>
    <n v="1437.325074813763"/>
    <n v="2428.8457331225868"/>
    <n v="2388.44"/>
    <n v="2388.44"/>
    <n v="27036.041023023696"/>
  </r>
  <r>
    <x v="1"/>
    <x v="0"/>
    <x v="6"/>
    <s v="Производственная деятельность"/>
    <s v="Расходы на налоги"/>
    <s v="КПП Завод"/>
    <x v="0"/>
    <x v="3"/>
    <s v="Расходы на налоги"/>
    <x v="12"/>
    <m/>
    <m/>
    <n v="5328.3783818762486"/>
    <n v="4141.175188435046"/>
    <n v="7593.5038377759802"/>
    <n v="8198.9885086805007"/>
    <n v="7009.4226081751194"/>
    <n v="6832.8939404556304"/>
    <n v="7127.2232510152289"/>
    <n v="6830.6967134443576"/>
    <n v="6287.331610393876"/>
    <n v="7316.7904862664873"/>
    <n v="7195.07"/>
    <n v="7195.07"/>
    <n v="81056.544526518497"/>
  </r>
  <r>
    <x v="1"/>
    <x v="0"/>
    <x v="6"/>
    <s v="Производственная деятельность"/>
    <s v="Расходы на налоги"/>
    <s v="Лаборатория"/>
    <x v="0"/>
    <x v="3"/>
    <s v="Расходы на налоги"/>
    <x v="12"/>
    <m/>
    <m/>
    <n v="3497.9223315457921"/>
    <n v="2718.5813771772036"/>
    <n v="9845.8238680677259"/>
    <n v="10430.926327565803"/>
    <n v="8917.5354676055613"/>
    <n v="8692.9519685878677"/>
    <n v="8065.3736793898106"/>
    <n v="8690.1566099829306"/>
    <n v="7469.2947614868972"/>
    <n v="6035.8307268721264"/>
    <n v="5172.4799999999996"/>
    <n v="5172.4799999999996"/>
    <n v="84709.357118281725"/>
  </r>
  <r>
    <x v="1"/>
    <x v="0"/>
    <x v="6"/>
    <s v="Производственная деятельность"/>
    <s v="Расходы на налоги"/>
    <s v="Руководитель технического отдела"/>
    <x v="0"/>
    <x v="3"/>
    <s v="Расходы на налоги"/>
    <x v="12"/>
    <m/>
    <m/>
    <n v="2354.7056184811509"/>
    <n v="1830.0357280744086"/>
    <n v="3355.7050324329916"/>
    <n v="3623.2795277677333"/>
    <n v="3097.5891002633543"/>
    <n v="3019.5779276492008"/>
    <n v="4605.61949945171"/>
    <n v="3018.6069337711906"/>
    <n v="2778.4841854709794"/>
    <n v="3233.4204578756721"/>
    <n v="3179.63"/>
    <n v="3179.63"/>
    <n v="37276.284011238393"/>
  </r>
  <r>
    <x v="1"/>
    <x v="0"/>
    <x v="6"/>
    <s v="Производственная деятельность"/>
    <s v="Расходы на налоги"/>
    <s v="Служба главного энергетика"/>
    <x v="0"/>
    <x v="3"/>
    <s v="Расходы на налоги"/>
    <x v="12"/>
    <m/>
    <m/>
    <n v="14269.495460438044"/>
    <n v="10990.573061246874"/>
    <n v="20156.614718501016"/>
    <n v="21763.846569582205"/>
    <n v="18606.19734058328"/>
    <n v="18137.609924548709"/>
    <n v="19741.394509990347"/>
    <n v="18131.777484181064"/>
    <n v="15454.844770261812"/>
    <n v="17985.350254922058"/>
    <n v="17686.150000000001"/>
    <n v="17686.150000000001"/>
    <n v="210610.00409425542"/>
  </r>
  <r>
    <x v="1"/>
    <x v="0"/>
    <x v="6"/>
    <s v="Производственная деятельность"/>
    <s v="Расходы на налоги"/>
    <s v="Служба заготовки молока"/>
    <x v="0"/>
    <x v="3"/>
    <s v="Расходы на налоги"/>
    <x v="12"/>
    <m/>
    <m/>
    <n v="1709.3079003484368"/>
    <n v="1328.2146101873384"/>
    <n v="2435.9448918614935"/>
    <n v="2630.1802965837342"/>
    <n v="2248.5755669656087"/>
    <n v="2191.9463592131633"/>
    <n v="3911.6427162664522"/>
    <n v="2191.2415035854165"/>
    <n v="2016.9336378796061"/>
    <n v="2347.1771122541222"/>
    <n v="2308.13"/>
    <n v="2308.13"/>
    <n v="27627.424595145374"/>
  </r>
  <r>
    <x v="1"/>
    <x v="0"/>
    <x v="6"/>
    <s v="Производственная деятельность"/>
    <s v="Расходы на налоги"/>
    <s v="Служба механника ЗПФ"/>
    <x v="0"/>
    <x v="3"/>
    <s v="Расходы на налоги"/>
    <x v="12"/>
    <m/>
    <m/>
    <n v="10971.472390000185"/>
    <n v="8526.3551406133465"/>
    <n v="15635.5107930949"/>
    <n v="16882.2425139488"/>
    <n v="15491.589001735054"/>
    <n v="15986.27116816552"/>
    <n v="14870.263477439708"/>
    <n v="16128.318977831155"/>
    <n v="13760.209111117862"/>
    <n v="18320.719380513026"/>
    <n v="19102.71"/>
    <n v="18015.939999999999"/>
    <n v="183691.60195445956"/>
  </r>
  <r>
    <x v="1"/>
    <x v="0"/>
    <x v="6"/>
    <s v="Производственная деятельность"/>
    <s v="Расходы на налоги"/>
    <s v="Служба механника Мороженого"/>
    <x v="0"/>
    <x v="3"/>
    <s v="Расходы на налоги"/>
    <x v="12"/>
    <m/>
    <m/>
    <n v="14822.382469506916"/>
    <n v="11518.866394068355"/>
    <n v="21123.465733969013"/>
    <n v="22807.791569779893"/>
    <n v="18439.950456524461"/>
    <n v="17975.549881916912"/>
    <n v="21386.612492739649"/>
    <n v="17969.769554564078"/>
    <n v="16540.318636828106"/>
    <n v="16977.748009855328"/>
    <n v="16100.43"/>
    <n v="14315.79"/>
    <n v="209978.6751997527"/>
  </r>
  <r>
    <x v="1"/>
    <x v="0"/>
    <x v="6"/>
    <s v="Производственная деятельность"/>
    <s v="Расходы на налоги"/>
    <s v="Служба.обслуж.холод.оборуд."/>
    <x v="0"/>
    <x v="3"/>
    <s v="Расходы на налоги"/>
    <x v="12"/>
    <m/>
    <m/>
    <n v="6668.4580615630575"/>
    <n v="5178.1954343438774"/>
    <n v="9503.2593884026646"/>
    <n v="14158.848772602185"/>
    <n v="12104.58516771141"/>
    <n v="11270.11025333713"/>
    <n v="9594.4453444074061"/>
    <n v="11266.486168010406"/>
    <n v="10370.264936924465"/>
    <n v="12068.244611929809"/>
    <n v="11867.48"/>
    <n v="11867.48"/>
    <n v="125917.8581392324"/>
  </r>
  <r>
    <x v="1"/>
    <x v="0"/>
    <x v="6"/>
    <s v="Производственная деятельность"/>
    <s v="Расходы на налоги"/>
    <s v="Строит.и ремонтно.мех.участок"/>
    <x v="0"/>
    <x v="3"/>
    <s v="Расходы на налоги"/>
    <x v="12"/>
    <m/>
    <m/>
    <n v="8104.9067659895209"/>
    <n v="5079.2123698065197"/>
    <n v="9313.7349752714781"/>
    <n v="10056.386046090696"/>
    <n v="7909.1431459572568"/>
    <n v="7709.9554838051445"/>
    <n v="7555.3797238899097"/>
    <n v="7707.4762235396774"/>
    <n v="7094.3654695195355"/>
    <n v="8255.9643724957277"/>
    <n v="6536.24"/>
    <n v="6536.24"/>
    <n v="91859.004576365478"/>
  </r>
  <r>
    <x v="1"/>
    <x v="0"/>
    <x v="6"/>
    <s v="Производственная деятельность"/>
    <s v="Расходы на налоги"/>
    <s v="Технолог ЗПФ"/>
    <x v="0"/>
    <x v="3"/>
    <s v="Расходы на налоги"/>
    <x v="12"/>
    <m/>
    <m/>
    <n v="925.14411861995825"/>
    <n v="719.35366669591542"/>
    <n v="1318.4284057474972"/>
    <n v="1423.5561842301906"/>
    <n v="1217.0168175240501"/>
    <n v="1186.3668810886059"/>
    <n v="2864.7151457038904"/>
    <n v="1185.9853857252763"/>
    <n v="1091.6431687648001"/>
    <n v="1270.3838204448894"/>
    <n v="1249.25"/>
    <n v="1844.13"/>
    <n v="16295.973594545074"/>
  </r>
  <r>
    <x v="1"/>
    <x v="0"/>
    <x v="6"/>
    <s v="Производственная деятельность"/>
    <s v="Расходы на налоги"/>
    <s v="Технолог Мороженое"/>
    <x v="0"/>
    <x v="3"/>
    <s v="Расходы на налоги"/>
    <x v="12"/>
    <m/>
    <m/>
    <n v="1365.6882317155284"/>
    <n v="1061.1905291098144"/>
    <n v="1946.2504509834957"/>
    <n v="2101.4389962172677"/>
    <n v="1796.5477075850526"/>
    <n v="1751.3025866895584"/>
    <n v="3956.0352012101343"/>
    <n v="1750.7394271583378"/>
    <n v="1611.4724169015253"/>
    <n v="1875.3275283546398"/>
    <n v="1844.13"/>
    <n v="1844.13"/>
    <n v="22904.253075925357"/>
  </r>
  <r>
    <x v="1"/>
    <x v="0"/>
    <x v="6"/>
    <s v="Производственная деятельность"/>
    <s v="Расходы на налоги"/>
    <s v="Хозяйственный отдел завода"/>
    <x v="0"/>
    <x v="3"/>
    <s v="Расходы на налоги"/>
    <x v="12"/>
    <m/>
    <m/>
    <n v="3582.9978219176633"/>
    <n v="2801.4509195805731"/>
    <n v="5137.5490178992995"/>
    <n v="5547.202748616276"/>
    <n v="4742.3762476451675"/>
    <n v="4622.9419650203808"/>
    <n v="4226.6622970692461"/>
    <n v="4621.4553836325231"/>
    <n v="4253.8299881398198"/>
    <n v="9900.6855858915605"/>
    <n v="4867.9799999999996"/>
    <n v="4867.9799999999996"/>
    <n v="59173.111975412496"/>
  </r>
  <r>
    <x v="1"/>
    <x v="0"/>
    <x v="6"/>
    <s v="Производственная деятельность"/>
    <s v="Расходы на налоги"/>
    <s v="ЦЕХ производства ЗПФ"/>
    <x v="0"/>
    <x v="3"/>
    <s v="Расходы на налоги"/>
    <x v="12"/>
    <m/>
    <m/>
    <n v="48667.460927375949"/>
    <n v="36413.107125213879"/>
    <n v="63255.03405679416"/>
    <n v="67630.251363503325"/>
    <n v="61666.429677053391"/>
    <n v="68713.486565780404"/>
    <n v="60981.607464542176"/>
    <n v="57894.703732270063"/>
    <n v="61130.295988317317"/>
    <n v="76900.448623923177"/>
    <n v="81402.259999999995"/>
    <n v="81459.520000000004"/>
    <n v="766114.60552477394"/>
  </r>
  <r>
    <x v="1"/>
    <x v="0"/>
    <x v="6"/>
    <s v="Производственная деятельность"/>
    <s v="Расходы на налоги"/>
    <s v="ЦЕХ производства мороженого"/>
    <x v="0"/>
    <x v="3"/>
    <s v="Расходы на налоги"/>
    <x v="12"/>
    <m/>
    <m/>
    <n v="21967.731310839041"/>
    <n v="26982.092813363754"/>
    <n v="101085.23828079768"/>
    <n v="129186.66680605338"/>
    <n v="126902.41814625396"/>
    <n v="123706.44665787312"/>
    <n v="103173.26439772242"/>
    <n v="59452.714007412316"/>
    <n v="34153.43173867857"/>
    <n v="38731.518865087361"/>
    <n v="27777.18"/>
    <n v="27777.18"/>
    <n v="820895.88302408182"/>
  </r>
  <r>
    <x v="1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37"/>
    <m/>
    <m/>
    <n v="200"/>
    <n v="200"/>
    <n v="200"/>
    <n v="200"/>
    <n v="200"/>
    <n v="200"/>
    <n v="200"/>
    <n v="200"/>
    <n v="200"/>
    <n v="200"/>
    <n v="200"/>
    <n v="200"/>
    <n v="2400"/>
  </r>
  <r>
    <x v="1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29"/>
    <m/>
    <m/>
    <n v="1762.62"/>
    <n v="1790.46"/>
    <n v="1796.24"/>
    <n v="1770.79"/>
    <n v="1768.08"/>
    <n v="1777.01"/>
    <n v="1774.49"/>
    <n v="1995.08"/>
    <n v="1768.14"/>
    <n v="1579.65"/>
    <n v="1800"/>
    <n v="1800"/>
    <n v="21382.559999999998"/>
  </r>
  <r>
    <x v="1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44"/>
    <m/>
    <m/>
    <m/>
    <m/>
    <m/>
    <m/>
    <m/>
    <m/>
    <m/>
    <m/>
    <m/>
    <n v="350"/>
    <m/>
    <m/>
    <n v="350"/>
  </r>
  <r>
    <x v="1"/>
    <x v="0"/>
    <x v="6"/>
    <s v="Производственная деятельность"/>
    <s v="Расходы на персонал"/>
    <s v="Директор производства"/>
    <x v="0"/>
    <x v="7"/>
    <s v="Расходы на персонал"/>
    <x v="90"/>
    <m/>
    <m/>
    <n v="519.28"/>
    <n v="477.76"/>
    <n v="579"/>
    <n v="694.22"/>
    <n v="702.46"/>
    <n v="499.36"/>
    <n v="576.64"/>
    <n v="596.36"/>
    <n v="627.88"/>
    <n v="961.12"/>
    <n v="650"/>
    <n v="650"/>
    <n v="7534.08"/>
  </r>
  <r>
    <x v="1"/>
    <x v="0"/>
    <x v="6"/>
    <s v="Производственная деятельность"/>
    <s v="Расходы на персонал"/>
    <s v="КПП Завод"/>
    <x v="0"/>
    <x v="7"/>
    <s v="Расходы на персонал"/>
    <x v="29"/>
    <m/>
    <m/>
    <m/>
    <m/>
    <m/>
    <m/>
    <m/>
    <m/>
    <m/>
    <m/>
    <m/>
    <m/>
    <n v="200"/>
    <n v="200"/>
    <n v="400"/>
  </r>
  <r>
    <x v="1"/>
    <x v="0"/>
    <x v="6"/>
    <s v="Производственная деятельность"/>
    <s v="Расходы на персонал"/>
    <s v="КПП Завод"/>
    <x v="0"/>
    <x v="7"/>
    <s v="Расходы на персонал"/>
    <x v="76"/>
    <m/>
    <m/>
    <m/>
    <m/>
    <m/>
    <m/>
    <n v="540"/>
    <n v="330"/>
    <m/>
    <m/>
    <m/>
    <m/>
    <m/>
    <m/>
    <n v="870"/>
  </r>
  <r>
    <x v="1"/>
    <x v="0"/>
    <x v="6"/>
    <s v="Производственная деятельность"/>
    <s v="Расходы на персонал"/>
    <s v="Руководитель технического отдела"/>
    <x v="0"/>
    <x v="7"/>
    <s v="Расходы на персонал"/>
    <x v="45"/>
    <m/>
    <m/>
    <m/>
    <m/>
    <m/>
    <n v="300"/>
    <m/>
    <m/>
    <m/>
    <m/>
    <m/>
    <m/>
    <m/>
    <m/>
    <n v="300"/>
  </r>
  <r>
    <x v="1"/>
    <x v="0"/>
    <x v="6"/>
    <s v="Производственная деятельность"/>
    <s v="Расходы на персонал"/>
    <s v="Служба главного энергетика"/>
    <x v="0"/>
    <x v="7"/>
    <s v="Расходы на персонал"/>
    <x v="25"/>
    <m/>
    <m/>
    <m/>
    <m/>
    <m/>
    <m/>
    <m/>
    <m/>
    <m/>
    <m/>
    <m/>
    <m/>
    <m/>
    <n v="412.4"/>
    <n v="412.4"/>
  </r>
  <r>
    <x v="1"/>
    <x v="0"/>
    <x v="6"/>
    <s v="Производственная деятельность"/>
    <s v="Расходы на персонал"/>
    <s v="Служба главного энергетика"/>
    <x v="0"/>
    <x v="7"/>
    <s v="Расходы на персонал"/>
    <x v="76"/>
    <m/>
    <m/>
    <m/>
    <m/>
    <m/>
    <m/>
    <m/>
    <n v="3879.22"/>
    <m/>
    <m/>
    <n v="2045.52"/>
    <n v="1518.84"/>
    <m/>
    <m/>
    <n v="7443.58"/>
  </r>
  <r>
    <x v="1"/>
    <x v="0"/>
    <x v="6"/>
    <s v="Производственная деятельность"/>
    <s v="Расходы на персонал"/>
    <s v="Служба заготовки молока"/>
    <x v="0"/>
    <x v="7"/>
    <s v="Расходы на персонал"/>
    <x v="76"/>
    <m/>
    <m/>
    <m/>
    <m/>
    <m/>
    <m/>
    <n v="47.92"/>
    <m/>
    <m/>
    <m/>
    <m/>
    <n v="53.87"/>
    <m/>
    <m/>
    <n v="101.78999999999999"/>
  </r>
  <r>
    <x v="1"/>
    <x v="0"/>
    <x v="6"/>
    <s v="Производственная деятельность"/>
    <s v="Расходы на персонал"/>
    <s v="Служба заготовки молока"/>
    <x v="0"/>
    <x v="7"/>
    <s v="Расходы на персонал"/>
    <x v="26"/>
    <m/>
    <m/>
    <m/>
    <m/>
    <m/>
    <n v="166.9"/>
    <m/>
    <m/>
    <m/>
    <m/>
    <m/>
    <m/>
    <m/>
    <m/>
    <n v="166.9"/>
  </r>
  <r>
    <x v="1"/>
    <x v="0"/>
    <x v="6"/>
    <s v="Производственная деятельность"/>
    <s v="Расходы на персонал"/>
    <s v="Служба механника ЗПФ"/>
    <x v="0"/>
    <x v="7"/>
    <s v="Расходы на персонал"/>
    <x v="76"/>
    <m/>
    <m/>
    <m/>
    <m/>
    <m/>
    <m/>
    <m/>
    <m/>
    <m/>
    <m/>
    <m/>
    <n v="268.02"/>
    <n v="1000"/>
    <n v="200"/>
    <n v="1468.02"/>
  </r>
  <r>
    <x v="1"/>
    <x v="0"/>
    <x v="6"/>
    <s v="Производственная деятельность"/>
    <s v="Расходы на персонал"/>
    <s v="Служба механника ЗПФ"/>
    <x v="0"/>
    <x v="7"/>
    <s v="Расходы на персонал"/>
    <x v="26"/>
    <m/>
    <m/>
    <n v="1650"/>
    <n v="580"/>
    <n v="390"/>
    <n v="380"/>
    <n v="470"/>
    <n v="390"/>
    <n v="380"/>
    <m/>
    <m/>
    <m/>
    <m/>
    <m/>
    <n v="4240"/>
  </r>
  <r>
    <x v="1"/>
    <x v="0"/>
    <x v="6"/>
    <s v="Производственная деятельность"/>
    <s v="Расходы на персонал"/>
    <s v="Служба механника Мороженого"/>
    <x v="0"/>
    <x v="7"/>
    <s v="Расходы на персонал"/>
    <x v="76"/>
    <m/>
    <m/>
    <m/>
    <m/>
    <m/>
    <n v="1243"/>
    <m/>
    <m/>
    <m/>
    <m/>
    <m/>
    <m/>
    <n v="200"/>
    <n v="100"/>
    <n v="1543"/>
  </r>
  <r>
    <x v="1"/>
    <x v="0"/>
    <x v="6"/>
    <s v="Производственная деятельность"/>
    <s v="Расходы на персонал"/>
    <s v="Служба.обслуж.холод.оборуд."/>
    <x v="0"/>
    <x v="7"/>
    <s v="Расходы на персонал"/>
    <x v="45"/>
    <m/>
    <m/>
    <m/>
    <m/>
    <n v="1400"/>
    <m/>
    <m/>
    <n v="1500"/>
    <n v="696"/>
    <m/>
    <m/>
    <m/>
    <m/>
    <m/>
    <n v="3596"/>
  </r>
  <r>
    <x v="1"/>
    <x v="0"/>
    <x v="6"/>
    <s v="Производственная деятельность"/>
    <s v="Расходы на персонал"/>
    <s v="Служба.обслуж.холод.оборуд."/>
    <x v="0"/>
    <x v="7"/>
    <s v="Расходы на персонал"/>
    <x v="76"/>
    <m/>
    <m/>
    <m/>
    <m/>
    <m/>
    <m/>
    <m/>
    <m/>
    <m/>
    <n v="3075.65"/>
    <m/>
    <m/>
    <m/>
    <m/>
    <n v="3075.65"/>
  </r>
  <r>
    <x v="1"/>
    <x v="0"/>
    <x v="6"/>
    <s v="Производственная деятельность"/>
    <s v="Расходы на персонал"/>
    <s v="Строит.и ремонтно.мех.участок"/>
    <x v="0"/>
    <x v="7"/>
    <s v="Расходы на персонал"/>
    <x v="76"/>
    <m/>
    <m/>
    <m/>
    <m/>
    <n v="167"/>
    <m/>
    <m/>
    <m/>
    <n v="256.42"/>
    <n v="296.04000000000002"/>
    <n v="659.7"/>
    <m/>
    <n v="70"/>
    <n v="100"/>
    <n v="1549.16"/>
  </r>
  <r>
    <x v="1"/>
    <x v="0"/>
    <x v="6"/>
    <s v="Производственная деятельность"/>
    <s v="Расходы на персонал"/>
    <s v="Технолог ЗПФ"/>
    <x v="0"/>
    <x v="7"/>
    <s v="Расходы на персонал"/>
    <x v="25"/>
    <m/>
    <m/>
    <m/>
    <m/>
    <m/>
    <m/>
    <m/>
    <m/>
    <m/>
    <m/>
    <m/>
    <m/>
    <m/>
    <n v="1057.0999999999999"/>
    <n v="1057.0999999999999"/>
  </r>
  <r>
    <x v="1"/>
    <x v="0"/>
    <x v="6"/>
    <s v="Производственная деятельность"/>
    <s v="Расходы на персонал"/>
    <s v="Технолог ЗПФ"/>
    <x v="0"/>
    <x v="7"/>
    <s v="Расходы на персонал"/>
    <x v="76"/>
    <m/>
    <m/>
    <m/>
    <m/>
    <m/>
    <m/>
    <m/>
    <m/>
    <m/>
    <m/>
    <m/>
    <m/>
    <m/>
    <n v="750"/>
    <n v="750"/>
  </r>
  <r>
    <x v="1"/>
    <x v="0"/>
    <x v="6"/>
    <s v="Производственная деятельность"/>
    <s v="Расходы на персонал"/>
    <s v="Технолог Мороженое"/>
    <x v="0"/>
    <x v="7"/>
    <s v="Расходы на персонал"/>
    <x v="45"/>
    <m/>
    <m/>
    <n v="288"/>
    <m/>
    <m/>
    <m/>
    <m/>
    <m/>
    <m/>
    <m/>
    <m/>
    <m/>
    <m/>
    <m/>
    <n v="288"/>
  </r>
  <r>
    <x v="1"/>
    <x v="0"/>
    <x v="6"/>
    <s v="Производственная деятельность"/>
    <s v="Расходы на персонал"/>
    <s v="Технолог Мороженое"/>
    <x v="0"/>
    <x v="7"/>
    <s v="Расходы на персонал"/>
    <x v="25"/>
    <m/>
    <m/>
    <m/>
    <m/>
    <m/>
    <m/>
    <m/>
    <m/>
    <m/>
    <m/>
    <m/>
    <m/>
    <m/>
    <n v="950.13"/>
    <n v="950.13"/>
  </r>
  <r>
    <x v="1"/>
    <x v="0"/>
    <x v="6"/>
    <s v="Производственная деятельность"/>
    <s v="Расходы на персонал"/>
    <s v="Технолог Мороженое"/>
    <x v="0"/>
    <x v="7"/>
    <s v="Расходы на персонал"/>
    <x v="76"/>
    <m/>
    <m/>
    <m/>
    <m/>
    <n v="390"/>
    <m/>
    <m/>
    <m/>
    <m/>
    <m/>
    <m/>
    <m/>
    <m/>
    <m/>
    <n v="390"/>
  </r>
  <r>
    <x v="1"/>
    <x v="0"/>
    <x v="6"/>
    <s v="Производственная деятельность"/>
    <s v="Расходы на персонал"/>
    <s v="Хозяйственный отдел завода"/>
    <x v="0"/>
    <x v="7"/>
    <s v="Расходы на персонал"/>
    <x v="90"/>
    <m/>
    <m/>
    <n v="11041.07"/>
    <n v="8739.9500000000007"/>
    <n v="12276.05"/>
    <n v="9861.23"/>
    <m/>
    <n v="13111.66"/>
    <n v="14288.97"/>
    <n v="9691.16"/>
    <n v="17438.86"/>
    <n v="16734.12"/>
    <n v="8000"/>
    <n v="8000"/>
    <n v="129183.07"/>
  </r>
  <r>
    <x v="1"/>
    <x v="0"/>
    <x v="6"/>
    <s v="Производственная деятельность"/>
    <s v="Расходы на персонал"/>
    <s v="Хозяйственный отдел завода"/>
    <x v="0"/>
    <x v="7"/>
    <s v="Расходы на персонал"/>
    <x v="76"/>
    <m/>
    <m/>
    <n v="117.89"/>
    <n v="113.11"/>
    <n v="130.77000000000001"/>
    <n v="122.77"/>
    <n v="651.07000000000005"/>
    <n v="104.74"/>
    <n v="108.12"/>
    <n v="649.47"/>
    <n v="106.11"/>
    <m/>
    <m/>
    <m/>
    <n v="2104.0500000000002"/>
  </r>
  <r>
    <x v="1"/>
    <x v="0"/>
    <x v="6"/>
    <s v="Производственная деятельность"/>
    <s v="Расходы на персонал"/>
    <s v="ЦЕХ производства ЗПФ"/>
    <x v="0"/>
    <x v="7"/>
    <s v="Расходы на персонал"/>
    <x v="76"/>
    <m/>
    <m/>
    <n v="1719.12"/>
    <n v="4471.84"/>
    <n v="1292.68"/>
    <n v="2003.17"/>
    <n v="3986.62"/>
    <n v="8443.4599999999991"/>
    <n v="3311.22"/>
    <n v="8650.16"/>
    <n v="8034.48"/>
    <n v="2290.73"/>
    <n v="2000"/>
    <n v="3550"/>
    <n v="49753.48"/>
  </r>
  <r>
    <x v="1"/>
    <x v="0"/>
    <x v="6"/>
    <s v="Производственная деятельность"/>
    <s v="Расходы на персонал"/>
    <s v="ЦЕХ производства ЗПФ"/>
    <x v="0"/>
    <x v="7"/>
    <s v="Расходы на персонал"/>
    <x v="26"/>
    <m/>
    <m/>
    <n v="1900"/>
    <n v="1200"/>
    <n v="1200"/>
    <n v="1200"/>
    <n v="1200"/>
    <n v="1000"/>
    <n v="800"/>
    <n v="900"/>
    <n v="400"/>
    <n v="300"/>
    <n v="400"/>
    <n v="400"/>
    <n v="10900"/>
  </r>
  <r>
    <x v="1"/>
    <x v="0"/>
    <x v="6"/>
    <s v="Производственная деятельность"/>
    <s v="Расходы на персонал"/>
    <s v="ЦЕХ производства мороженого"/>
    <x v="0"/>
    <x v="7"/>
    <s v="Расходы на персонал"/>
    <x v="76"/>
    <m/>
    <m/>
    <n v="1028.72"/>
    <n v="4414.47"/>
    <n v="10971.94"/>
    <n v="6746.27"/>
    <n v="7933.11"/>
    <n v="5303.45"/>
    <n v="6370.98"/>
    <n v="3135.07"/>
    <n v="429.89"/>
    <n v="95.16"/>
    <n v="250"/>
    <n v="250"/>
    <n v="46929.060000000005"/>
  </r>
  <r>
    <x v="1"/>
    <x v="0"/>
    <x v="6"/>
    <s v="Производственная деятельность"/>
    <s v="Расходы на списание"/>
    <s v="Лаборатория"/>
    <x v="0"/>
    <x v="22"/>
    <s v="Расходы на списание"/>
    <x v="121"/>
    <m/>
    <m/>
    <m/>
    <m/>
    <m/>
    <m/>
    <m/>
    <m/>
    <n v="111.65"/>
    <m/>
    <m/>
    <m/>
    <m/>
    <m/>
    <n v="111.65"/>
  </r>
  <r>
    <x v="1"/>
    <x v="0"/>
    <x v="6"/>
    <s v="Производственная деятельность"/>
    <s v="Расходы на списание"/>
    <s v="ЦЕХ производства ЗПФ"/>
    <x v="0"/>
    <x v="22"/>
    <s v="Расходы на списание"/>
    <x v="77"/>
    <m/>
    <m/>
    <m/>
    <n v="3498.6"/>
    <m/>
    <n v="35.47"/>
    <m/>
    <n v="14.29"/>
    <m/>
    <m/>
    <m/>
    <m/>
    <m/>
    <m/>
    <n v="3548.3599999999997"/>
  </r>
  <r>
    <x v="1"/>
    <x v="0"/>
    <x v="6"/>
    <s v="Производственная деятельность"/>
    <s v="Расходы на списание"/>
    <s v="ЦЕХ производства мороженого"/>
    <x v="0"/>
    <x v="22"/>
    <s v="Расходы на списание"/>
    <x v="77"/>
    <m/>
    <m/>
    <m/>
    <m/>
    <m/>
    <n v="315.14999999999998"/>
    <m/>
    <m/>
    <m/>
    <m/>
    <m/>
    <m/>
    <m/>
    <m/>
    <n v="315.14999999999998"/>
  </r>
  <r>
    <x v="1"/>
    <x v="0"/>
    <x v="6"/>
    <s v="Производственная деятельность"/>
    <s v="Расходы на услуги вет. службы"/>
    <s v="Директор производства"/>
    <x v="0"/>
    <x v="21"/>
    <s v="Расходы на услуги вет. службы"/>
    <x v="71"/>
    <m/>
    <m/>
    <m/>
    <m/>
    <m/>
    <m/>
    <m/>
    <m/>
    <m/>
    <n v="9000"/>
    <n v="3000"/>
    <m/>
    <m/>
    <m/>
    <n v="12000"/>
  </r>
  <r>
    <x v="1"/>
    <x v="2"/>
    <x v="6"/>
    <s v="Производственная деятельность"/>
    <s v="Расходы на услуги вет. службы"/>
    <s v="Лаборатория"/>
    <x v="0"/>
    <x v="21"/>
    <s v="Расходы на услуги вет. службы"/>
    <x v="71"/>
    <m/>
    <m/>
    <n v="7635.61"/>
    <n v="10237.9"/>
    <n v="13860.48"/>
    <n v="14993.64"/>
    <n v="9618.51"/>
    <n v="7579.08"/>
    <n v="15712.08"/>
    <n v="11917.92"/>
    <n v="11193.94"/>
    <n v="27848.3"/>
    <n v="16700"/>
    <n v="13600"/>
    <n v="160897.46000000002"/>
  </r>
  <r>
    <x v="1"/>
    <x v="0"/>
    <x v="6"/>
    <s v="Производственная деятельность"/>
    <s v="Расходы на услуги вет. службы"/>
    <s v="Служба заготовки молока"/>
    <x v="0"/>
    <x v="21"/>
    <s v="Расходы на услуги вет. службы"/>
    <x v="71"/>
    <m/>
    <m/>
    <n v="1593.41"/>
    <n v="1449.56"/>
    <n v="1339.41"/>
    <n v="1294.8800000000001"/>
    <n v="1188.93"/>
    <n v="1261.53"/>
    <n v="1490.43"/>
    <n v="864.33"/>
    <n v="1242.78"/>
    <n v="1212.58"/>
    <n v="1600"/>
    <n v="1300"/>
    <n v="15837.84"/>
  </r>
  <r>
    <x v="1"/>
    <x v="0"/>
    <x v="6"/>
    <s v="Производственная деятельность"/>
    <s v="Расходы на услуги сторонних организаций"/>
    <s v="Директор производства"/>
    <x v="0"/>
    <x v="8"/>
    <s v="Расходы на услуги сторонних организаций"/>
    <x v="27"/>
    <m/>
    <m/>
    <n v="722.17"/>
    <n v="422.57"/>
    <n v="2549.92"/>
    <n v="1572.81"/>
    <n v="2263.66"/>
    <n v="7476.15"/>
    <n v="2305.54"/>
    <n v="2292.62"/>
    <n v="901.06"/>
    <n v="986.2"/>
    <n v="1000"/>
    <n v="1000"/>
    <n v="23492.7"/>
  </r>
  <r>
    <x v="1"/>
    <x v="0"/>
    <x v="6"/>
    <s v="Производственная деятельность"/>
    <s v="Расходы на услуги сторонних организаций"/>
    <s v="Директор производства"/>
    <x v="0"/>
    <x v="8"/>
    <s v="Расходы на услуги сторонних организаций"/>
    <x v="47"/>
    <m/>
    <m/>
    <m/>
    <m/>
    <m/>
    <n v="-30198.560000000001"/>
    <n v="-144693.29"/>
    <n v="-190048.04"/>
    <n v="-71275.820000000007"/>
    <n v="-24508.89"/>
    <n v="-40994.480000000003"/>
    <n v="-47197.11"/>
    <m/>
    <m/>
    <n v="-548916.19000000006"/>
  </r>
  <r>
    <x v="1"/>
    <x v="0"/>
    <x v="6"/>
    <s v="Производственная деятельность"/>
    <s v="Расходы на услуги сторонних организаций"/>
    <s v="КПП Завод"/>
    <x v="0"/>
    <x v="8"/>
    <s v="Расходы на услуги сторонних организаций"/>
    <x v="32"/>
    <m/>
    <m/>
    <m/>
    <n v="48.6"/>
    <m/>
    <m/>
    <m/>
    <m/>
    <m/>
    <m/>
    <m/>
    <m/>
    <m/>
    <m/>
    <n v="48.6"/>
  </r>
  <r>
    <x v="1"/>
    <x v="0"/>
    <x v="6"/>
    <s v="Производственная деятельность"/>
    <s v="Расходы на услуги сторонних организаций"/>
    <s v="Лаборатория"/>
    <x v="0"/>
    <x v="8"/>
    <s v="Расходы на услуги сторонних организаций"/>
    <x v="27"/>
    <m/>
    <m/>
    <m/>
    <n v="1000"/>
    <m/>
    <m/>
    <m/>
    <m/>
    <m/>
    <m/>
    <m/>
    <m/>
    <m/>
    <m/>
    <n v="1000"/>
  </r>
  <r>
    <x v="1"/>
    <x v="0"/>
    <x v="6"/>
    <s v="Производственная деятельность"/>
    <s v="Расходы на услуги сторонних организаций"/>
    <s v="Лаборатория"/>
    <x v="0"/>
    <x v="8"/>
    <s v="Расходы на услуги сторонних организаций"/>
    <x v="32"/>
    <m/>
    <m/>
    <n v="100"/>
    <n v="117.35"/>
    <n v="397.2"/>
    <n v="303.87"/>
    <n v="2261.4499999999998"/>
    <n v="218.67"/>
    <n v="200"/>
    <n v="198.4"/>
    <n v="200"/>
    <n v="226.56"/>
    <n v="200"/>
    <n v="200"/>
    <n v="4623.5"/>
  </r>
  <r>
    <x v="1"/>
    <x v="0"/>
    <x v="6"/>
    <s v="Производственная деятельность"/>
    <s v="Расходы на услуги сторонних организаций"/>
    <s v="Руководитель технического отдела"/>
    <x v="0"/>
    <x v="8"/>
    <s v="Расходы на услуги сторонних организаций"/>
    <x v="27"/>
    <m/>
    <m/>
    <m/>
    <m/>
    <m/>
    <n v="130"/>
    <m/>
    <m/>
    <m/>
    <m/>
    <m/>
    <m/>
    <m/>
    <m/>
    <n v="130"/>
  </r>
  <r>
    <x v="1"/>
    <x v="0"/>
    <x v="6"/>
    <s v="Производственная деятельность"/>
    <s v="Расходы на услуги сторонних организаций"/>
    <s v="Руководитель технического отдела"/>
    <x v="0"/>
    <x v="8"/>
    <s v="Расходы на услуги сторонних организаций"/>
    <x v="47"/>
    <m/>
    <m/>
    <m/>
    <m/>
    <m/>
    <n v="2601"/>
    <m/>
    <m/>
    <m/>
    <m/>
    <n v="800"/>
    <m/>
    <m/>
    <m/>
    <n v="3401"/>
  </r>
  <r>
    <x v="1"/>
    <x v="0"/>
    <x v="6"/>
    <s v="Производственная деятельность"/>
    <s v="Расходы на услуги сторонних организаций"/>
    <s v="Служба главного энергетика"/>
    <x v="0"/>
    <x v="8"/>
    <s v="Расходы на услуги сторонних организаций"/>
    <x v="112"/>
    <m/>
    <m/>
    <n v="690"/>
    <m/>
    <m/>
    <m/>
    <m/>
    <m/>
    <n v="278"/>
    <m/>
    <m/>
    <m/>
    <m/>
    <m/>
    <n v="968"/>
  </r>
  <r>
    <x v="1"/>
    <x v="0"/>
    <x v="6"/>
    <s v="Производственная деятельность"/>
    <s v="Расходы на услуги сторонних организаций"/>
    <s v="Служба главного энергетика"/>
    <x v="0"/>
    <x v="8"/>
    <s v="Расходы на услуги сторонних организаций"/>
    <x v="32"/>
    <m/>
    <m/>
    <m/>
    <m/>
    <m/>
    <n v="40"/>
    <m/>
    <m/>
    <m/>
    <m/>
    <m/>
    <m/>
    <n v="150"/>
    <n v="150"/>
    <n v="340"/>
  </r>
  <r>
    <x v="1"/>
    <x v="0"/>
    <x v="6"/>
    <s v="Производственная деятельность"/>
    <s v="Расходы на услуги сторонних организаций"/>
    <s v="Служба заготовки молока"/>
    <x v="0"/>
    <x v="8"/>
    <s v="Расходы на услуги сторонних организаций"/>
    <x v="47"/>
    <m/>
    <m/>
    <m/>
    <n v="300"/>
    <n v="600"/>
    <n v="300"/>
    <n v="144993.29"/>
    <n v="190348.04"/>
    <n v="71575.820000000007"/>
    <n v="24808.89"/>
    <n v="41015.08"/>
    <n v="47497.11"/>
    <n v="300"/>
    <n v="300"/>
    <n v="522038.23000000004"/>
  </r>
  <r>
    <x v="1"/>
    <x v="0"/>
    <x v="6"/>
    <s v="Производственная деятельность"/>
    <s v="Расходы на услуги сторонних организаций"/>
    <s v="Служба заготовки молока"/>
    <x v="0"/>
    <x v="8"/>
    <s v="Расходы на услуги сторонних организаций"/>
    <x v="32"/>
    <m/>
    <m/>
    <n v="59.49"/>
    <m/>
    <n v="210.99"/>
    <n v="26.18"/>
    <m/>
    <n v="525.85"/>
    <n v="471.75"/>
    <m/>
    <n v="1837.47"/>
    <n v="49.73"/>
    <n v="50"/>
    <n v="50"/>
    <n v="3281.46"/>
  </r>
  <r>
    <x v="1"/>
    <x v="0"/>
    <x v="6"/>
    <s v="Производственная деятельность"/>
    <s v="Расходы на услуги сторонних организаций"/>
    <s v="Служба механника ЗПФ"/>
    <x v="0"/>
    <x v="8"/>
    <s v="Расходы на услуги сторонних организаций"/>
    <x v="32"/>
    <m/>
    <m/>
    <m/>
    <m/>
    <m/>
    <m/>
    <m/>
    <m/>
    <m/>
    <m/>
    <m/>
    <m/>
    <n v="150"/>
    <n v="150"/>
    <n v="300"/>
  </r>
  <r>
    <x v="1"/>
    <x v="0"/>
    <x v="6"/>
    <s v="Производственная деятельность"/>
    <s v="Расходы на услуги сторонних организаций"/>
    <s v="Служба механника Мороженого"/>
    <x v="0"/>
    <x v="8"/>
    <s v="Расходы на услуги сторонних организаций"/>
    <x v="32"/>
    <m/>
    <m/>
    <m/>
    <m/>
    <m/>
    <m/>
    <m/>
    <m/>
    <m/>
    <m/>
    <m/>
    <m/>
    <n v="100"/>
    <n v="100"/>
    <n v="200"/>
  </r>
  <r>
    <x v="1"/>
    <x v="0"/>
    <x v="6"/>
    <s v="Производственная деятельность"/>
    <s v="Расходы на услуги сторонних организаций"/>
    <s v="Служба.обслуж.холод.оборуд."/>
    <x v="0"/>
    <x v="8"/>
    <s v="Расходы на услуги сторонних организаций"/>
    <x v="32"/>
    <m/>
    <m/>
    <m/>
    <m/>
    <n v="180.39"/>
    <n v="4848.5200000000004"/>
    <n v="188.29"/>
    <m/>
    <m/>
    <m/>
    <m/>
    <m/>
    <n v="150"/>
    <n v="150"/>
    <n v="5517.2000000000007"/>
  </r>
  <r>
    <x v="1"/>
    <x v="0"/>
    <x v="6"/>
    <s v="Производственная деятельность"/>
    <s v="Расходы на услуги сторонних организаций"/>
    <s v="Строит.и ремонтно.мех.участок"/>
    <x v="0"/>
    <x v="8"/>
    <s v="Расходы на услуги сторонних организаций"/>
    <x v="32"/>
    <m/>
    <m/>
    <m/>
    <m/>
    <m/>
    <m/>
    <m/>
    <m/>
    <m/>
    <m/>
    <m/>
    <m/>
    <n v="50"/>
    <n v="50"/>
    <n v="100"/>
  </r>
  <r>
    <x v="1"/>
    <x v="0"/>
    <x v="6"/>
    <s v="Производственная деятельность"/>
    <s v="Расходы на услуги сторонних организаций"/>
    <s v="Технолог Мороженое"/>
    <x v="0"/>
    <x v="8"/>
    <s v="Расходы на услуги сторонних организаций"/>
    <x v="32"/>
    <m/>
    <m/>
    <m/>
    <m/>
    <m/>
    <m/>
    <n v="7.36"/>
    <m/>
    <m/>
    <m/>
    <m/>
    <n v="24.5"/>
    <n v="100"/>
    <n v="100"/>
    <n v="231.86"/>
  </r>
  <r>
    <x v="1"/>
    <x v="0"/>
    <x v="6"/>
    <s v="Производственная деятельность"/>
    <s v="Расходы на услуги сторонних организаций"/>
    <s v="Хозяйственный отдел завода"/>
    <x v="0"/>
    <x v="8"/>
    <s v="Расходы на услуги сторонних организаций"/>
    <x v="47"/>
    <m/>
    <m/>
    <m/>
    <n v="107.52"/>
    <m/>
    <n v="238.08"/>
    <n v="290.56"/>
    <m/>
    <m/>
    <n v="250"/>
    <n v="289.27999999999997"/>
    <n v="268.8"/>
    <n v="350"/>
    <n v="350"/>
    <n v="2144.2399999999998"/>
  </r>
  <r>
    <x v="1"/>
    <x v="0"/>
    <x v="6"/>
    <s v="Производственная деятельность"/>
    <s v="Расходы на услуги сторонних организаций"/>
    <s v="Хозяйственный отдел завода"/>
    <x v="0"/>
    <x v="8"/>
    <s v="Расходы на услуги сторонних организаций"/>
    <x v="32"/>
    <m/>
    <m/>
    <n v="1213.43"/>
    <n v="2309.09"/>
    <n v="5560.07"/>
    <n v="4050.34"/>
    <n v="13973.53"/>
    <n v="2236.9899999999998"/>
    <n v="2603.41"/>
    <n v="2429.2600000000002"/>
    <n v="2026.25"/>
    <n v="1236.9000000000001"/>
    <n v="1000"/>
    <n v="1300"/>
    <n v="39939.269999999997"/>
  </r>
  <r>
    <x v="1"/>
    <x v="0"/>
    <x v="6"/>
    <s v="Производственная деятельность"/>
    <s v="Расходы на услуги сторонних организаций"/>
    <s v="ЦЕХ производства ЗПФ"/>
    <x v="0"/>
    <x v="8"/>
    <s v="Расходы на услуги сторонних организаций"/>
    <x v="32"/>
    <m/>
    <m/>
    <n v="1334.64"/>
    <n v="1004.52"/>
    <n v="180"/>
    <n v="3011"/>
    <n v="5392.37"/>
    <n v="3529.5"/>
    <n v="210"/>
    <n v="4337.6099999999997"/>
    <n v="1242.81"/>
    <n v="3848.41"/>
    <n v="4738"/>
    <n v="3722"/>
    <n v="32550.86"/>
  </r>
  <r>
    <x v="1"/>
    <x v="0"/>
    <x v="6"/>
    <s v="Производственная деятельность"/>
    <s v="Расходы на услуги сторонних организаций"/>
    <s v="ЦЕХ производства мороженого"/>
    <x v="0"/>
    <x v="8"/>
    <s v="Расходы на услуги сторонних организаций"/>
    <x v="47"/>
    <m/>
    <m/>
    <m/>
    <m/>
    <m/>
    <n v="30198.560000000001"/>
    <m/>
    <m/>
    <m/>
    <m/>
    <m/>
    <m/>
    <m/>
    <m/>
    <n v="30198.560000000001"/>
  </r>
  <r>
    <x v="1"/>
    <x v="0"/>
    <x v="6"/>
    <s v="Производственная деятельность"/>
    <s v="Расходы на услуги сторонних организаций"/>
    <s v="ЦЕХ производства мороженого"/>
    <x v="0"/>
    <x v="8"/>
    <s v="Расходы на услуги сторонних организаций"/>
    <x v="32"/>
    <m/>
    <m/>
    <n v="763.23"/>
    <n v="775.69"/>
    <n v="1429.68"/>
    <n v="1216.5899999999999"/>
    <n v="1054.3399999999999"/>
    <n v="2124.48"/>
    <n v="3600.24"/>
    <n v="2918.03"/>
    <n v="605.48"/>
    <n v="4530.59"/>
    <n v="2000"/>
    <n v="500"/>
    <n v="21518.35"/>
  </r>
  <r>
    <x v="1"/>
    <x v="0"/>
    <x v="6"/>
    <s v="Производственная деятельность"/>
    <s v="Ремонт ОС"/>
    <s v="Руководитель технического отдела"/>
    <x v="0"/>
    <x v="17"/>
    <s v="Ремонт производственных ОС"/>
    <x v="97"/>
    <m/>
    <m/>
    <m/>
    <m/>
    <m/>
    <m/>
    <m/>
    <m/>
    <m/>
    <n v="44"/>
    <m/>
    <n v="57"/>
    <m/>
    <m/>
    <n v="101"/>
  </r>
  <r>
    <x v="1"/>
    <x v="2"/>
    <x v="6"/>
    <s v="Производственная деятельность"/>
    <s v="Ремонт ОС"/>
    <s v="Служба главного энергетика"/>
    <x v="0"/>
    <x v="17"/>
    <s v="Ремонт производственных ОС"/>
    <x v="99"/>
    <m/>
    <m/>
    <n v="6243.11"/>
    <m/>
    <m/>
    <m/>
    <m/>
    <m/>
    <m/>
    <m/>
    <m/>
    <m/>
    <m/>
    <m/>
    <n v="6243.11"/>
  </r>
  <r>
    <x v="1"/>
    <x v="2"/>
    <x v="6"/>
    <s v="Производственная деятельность"/>
    <s v="Ремонт ОС"/>
    <s v="Служба главного энергетика"/>
    <x v="0"/>
    <x v="17"/>
    <s v="Ремонт производственных ОС"/>
    <x v="97"/>
    <m/>
    <m/>
    <n v="33967.24"/>
    <n v="38820.86"/>
    <n v="38009.67"/>
    <n v="38693.370000000003"/>
    <n v="80135.05"/>
    <n v="75376.399999999994"/>
    <n v="17177.490000000002"/>
    <n v="98583.24"/>
    <n v="83351.27"/>
    <n v="89855.2"/>
    <n v="73500"/>
    <n v="62000"/>
    <n v="729469.78999999992"/>
  </r>
  <r>
    <x v="1"/>
    <x v="2"/>
    <x v="6"/>
    <s v="Производственная деятельность"/>
    <s v="Ремонт ОС"/>
    <s v="Служба механника ЗПФ"/>
    <x v="0"/>
    <x v="17"/>
    <s v="Ремонт производственных ОС"/>
    <x v="99"/>
    <m/>
    <m/>
    <n v="70613.61"/>
    <n v="45161.88"/>
    <n v="34301.96"/>
    <n v="61698.97"/>
    <n v="32339.66"/>
    <n v="19632.62"/>
    <n v="46467.8"/>
    <n v="27898.29"/>
    <n v="31820.5"/>
    <n v="38254.85"/>
    <n v="53500"/>
    <n v="56000"/>
    <n v="517690.13999999996"/>
  </r>
  <r>
    <x v="1"/>
    <x v="2"/>
    <x v="6"/>
    <s v="Производственная деятельность"/>
    <s v="Ремонт ОС"/>
    <s v="Служба механника Мороженого"/>
    <x v="0"/>
    <x v="17"/>
    <s v="Ремонт производственных ОС"/>
    <x v="99"/>
    <m/>
    <m/>
    <n v="35170.01"/>
    <n v="57223.75"/>
    <n v="70983.839999999997"/>
    <n v="128664.28"/>
    <n v="106306.42"/>
    <n v="119740.62"/>
    <n v="110899.12"/>
    <n v="101262.64"/>
    <n v="50255.18"/>
    <n v="30801.29"/>
    <n v="82750"/>
    <n v="60000"/>
    <n v="954057.15000000014"/>
  </r>
  <r>
    <x v="1"/>
    <x v="2"/>
    <x v="6"/>
    <s v="Производственная деятельность"/>
    <s v="Ремонт ОС"/>
    <s v="Служба.обслуж.холод.оборуд."/>
    <x v="0"/>
    <x v="17"/>
    <s v="Ремонт производственных ОС"/>
    <x v="100"/>
    <m/>
    <m/>
    <n v="4372.34"/>
    <n v="8848.09"/>
    <n v="22625.14"/>
    <n v="31128.53"/>
    <n v="20777.91"/>
    <n v="21140.79"/>
    <n v="11063.91"/>
    <n v="22278.44"/>
    <n v="17660.29"/>
    <m/>
    <n v="8500"/>
    <n v="16000"/>
    <n v="184395.44000000003"/>
  </r>
  <r>
    <x v="1"/>
    <x v="2"/>
    <x v="6"/>
    <s v="Производственная деятельность"/>
    <s v="Ремонт ОС"/>
    <s v="Служба.обслуж.холод.оборуд."/>
    <x v="0"/>
    <x v="17"/>
    <s v="Ремонт торговых ОС"/>
    <x v="66"/>
    <m/>
    <m/>
    <m/>
    <m/>
    <m/>
    <m/>
    <n v="5470.03"/>
    <n v="8643.39"/>
    <n v="6736.38"/>
    <n v="10196.959999999999"/>
    <n v="5492.73"/>
    <n v="18082.77"/>
    <n v="29000"/>
    <n v="2000"/>
    <n v="85622.26"/>
  </r>
  <r>
    <x v="1"/>
    <x v="0"/>
    <x v="6"/>
    <s v="Производственная деятельность"/>
    <s v="Ремонт ОС"/>
    <s v="Строит.и ремонтно.мех.участок"/>
    <x v="0"/>
    <x v="17"/>
    <s v="Ремонт производственных ОС"/>
    <x v="99"/>
    <m/>
    <m/>
    <n v="6614.68"/>
    <n v="4014.88"/>
    <n v="5844.9"/>
    <n v="9812.02"/>
    <n v="6799.64"/>
    <n v="9500.5400000000009"/>
    <n v="4503.72"/>
    <n v="6148.77"/>
    <n v="7948.12"/>
    <n v="9552.0499999999993"/>
    <m/>
    <m/>
    <n v="70739.320000000007"/>
  </r>
  <r>
    <x v="1"/>
    <x v="0"/>
    <x v="6"/>
    <s v="Производственная деятельность"/>
    <s v="Ремонт ОС"/>
    <s v="Строит.и ремонтно.мех.участок"/>
    <x v="0"/>
    <x v="17"/>
    <s v="Ремонт прочих ОС"/>
    <x v="65"/>
    <m/>
    <m/>
    <m/>
    <m/>
    <m/>
    <m/>
    <m/>
    <m/>
    <m/>
    <m/>
    <m/>
    <m/>
    <n v="2750"/>
    <n v="4000"/>
    <n v="6750"/>
  </r>
  <r>
    <x v="1"/>
    <x v="0"/>
    <x v="6"/>
    <s v="Производственная деятельность"/>
    <s v="Ремонт ОС"/>
    <s v="Хозяйственный отдел завода"/>
    <x v="0"/>
    <x v="17"/>
    <s v="Ремонт производственных ОС"/>
    <x v="99"/>
    <m/>
    <m/>
    <m/>
    <m/>
    <n v="138"/>
    <m/>
    <m/>
    <m/>
    <m/>
    <m/>
    <m/>
    <m/>
    <m/>
    <m/>
    <n v="138"/>
  </r>
  <r>
    <x v="1"/>
    <x v="0"/>
    <x v="6"/>
    <s v="Производственная деятельность"/>
    <s v="Услуги связи"/>
    <s v="Директор производства"/>
    <x v="0"/>
    <x v="4"/>
    <s v="Услуги связи"/>
    <x v="13"/>
    <m/>
    <m/>
    <m/>
    <m/>
    <m/>
    <n v="64.77"/>
    <m/>
    <m/>
    <n v="64.62"/>
    <n v="54.62"/>
    <m/>
    <m/>
    <m/>
    <m/>
    <n v="184.01"/>
  </r>
  <r>
    <x v="1"/>
    <x v="0"/>
    <x v="6"/>
    <s v="Производственная деятельность"/>
    <s v="Услуги связи"/>
    <s v="Служба главного энергетика"/>
    <x v="0"/>
    <x v="4"/>
    <s v="Услуги связи"/>
    <x v="13"/>
    <m/>
    <m/>
    <m/>
    <m/>
    <m/>
    <n v="130.30000000000001"/>
    <m/>
    <m/>
    <n v="152.47"/>
    <n v="210.77"/>
    <m/>
    <m/>
    <m/>
    <m/>
    <n v="493.53999999999996"/>
  </r>
  <r>
    <x v="1"/>
    <x v="0"/>
    <x v="6"/>
    <s v="Расходы на маркетинг"/>
    <s v="Расходы на создание новых продуктов"/>
    <s v="Лаборатория"/>
    <x v="0"/>
    <x v="2"/>
    <s v="Расходы на создание новых продуктов"/>
    <x v="10"/>
    <m/>
    <m/>
    <n v="100"/>
    <n v="116.22"/>
    <n v="200"/>
    <n v="61.28"/>
    <n v="93.96"/>
    <n v="100"/>
    <n v="99.55"/>
    <n v="100"/>
    <n v="98.79"/>
    <n v="97.91"/>
    <n v="100"/>
    <n v="100"/>
    <n v="1267.71"/>
  </r>
  <r>
    <x v="1"/>
    <x v="0"/>
    <x v="6"/>
    <s v="Расходы на маркетинг"/>
    <s v="Расходы на создание новых продуктов"/>
    <s v="Технолог ЗПФ"/>
    <x v="0"/>
    <x v="2"/>
    <s v="Расходы на создание новых продуктов"/>
    <x v="15"/>
    <m/>
    <m/>
    <m/>
    <n v="222.01"/>
    <m/>
    <n v="46.2"/>
    <m/>
    <m/>
    <m/>
    <m/>
    <n v="119.51"/>
    <n v="1219.54"/>
    <n v="300"/>
    <n v="300"/>
    <n v="2207.2600000000002"/>
  </r>
  <r>
    <x v="1"/>
    <x v="0"/>
    <x v="6"/>
    <s v="Расходы на маркетинг"/>
    <s v="Расходы на создание новых продуктов"/>
    <s v="Технолог Мороженое"/>
    <x v="0"/>
    <x v="2"/>
    <s v="Расходы на создание новых продуктов"/>
    <x v="15"/>
    <m/>
    <m/>
    <n v="231.83"/>
    <n v="205.08"/>
    <n v="47.2"/>
    <m/>
    <n v="21"/>
    <n v="150"/>
    <n v="395.1"/>
    <m/>
    <n v="248.78"/>
    <n v="844.29"/>
    <n v="350"/>
    <n v="350"/>
    <n v="2843.2799999999997"/>
  </r>
  <r>
    <x v="1"/>
    <x v="0"/>
    <x v="11"/>
    <s v="Производство кг"/>
    <s v="Производство кг"/>
    <s v="Производство кг"/>
    <x v="0"/>
    <x v="28"/>
    <s v="Производство кг"/>
    <x v="107"/>
    <m/>
    <m/>
    <n v="487243.51799999998"/>
    <n v="708172.06"/>
    <n v="1002162.709"/>
    <n v="1410710.9180000001"/>
    <n v="1561496.62"/>
    <n v="1446657.2279999999"/>
    <n v="1218011.3910000001"/>
    <n v="1114326.8729999999"/>
    <n v="603401.20499999996"/>
    <n v="490328.13"/>
    <n v="671950.34870623762"/>
    <n v="584789.76343724772"/>
    <n v="11299250.764143486"/>
  </r>
  <r>
    <x v="1"/>
    <x v="3"/>
    <x v="7"/>
    <s v="Прочие доходы"/>
    <s v="Прочие доходы"/>
    <s v="Прочие доходы"/>
    <x v="0"/>
    <x v="24"/>
    <s v="Прочие доходы"/>
    <x v="103"/>
    <m/>
    <m/>
    <n v="1311467.1799999992"/>
    <n v="7423216.2300000004"/>
    <n v="3995050.92"/>
    <n v="731980.19"/>
    <n v="688304.64999999991"/>
    <n v="1010490.0899999999"/>
    <n v="3571092"/>
    <n v="275206.03999999998"/>
    <n v="527371.45000000007"/>
    <n v="318635.08999999997"/>
    <n v="101587.45435466945"/>
    <n v="89334.680587618044"/>
    <n v="20043735.974942286"/>
  </r>
  <r>
    <x v="1"/>
    <x v="1"/>
    <x v="2"/>
    <s v="Прочие расходы"/>
    <s v="Прочие расходы"/>
    <s v="Директор производства"/>
    <x v="0"/>
    <x v="18"/>
    <s v="Прочие расходы"/>
    <x v="67"/>
    <m/>
    <m/>
    <n v="1275646.8800000001"/>
    <n v="6456475.1592454575"/>
    <n v="3806220.7"/>
    <n v="548556.05000000005"/>
    <n v="502148.83"/>
    <n v="1064292.04"/>
    <n v="3609863.14"/>
    <n v="339283.61"/>
    <n v="262534.59000000003"/>
    <n v="215061.89"/>
    <n v="70649.456892111004"/>
    <n v="68219.21063054468"/>
    <n v="18218951.556768112"/>
  </r>
  <r>
    <x v="1"/>
    <x v="2"/>
    <x v="3"/>
    <s v="Себестоимость"/>
    <s v="Себестоимость"/>
    <s v="Директор производства"/>
    <x v="0"/>
    <x v="19"/>
    <s v="Себестоимость"/>
    <x v="68"/>
    <m/>
    <m/>
    <n v="5988786.8099999996"/>
    <n v="7408589.5499999998"/>
    <n v="7379782.5700000003"/>
    <n v="11767091.77"/>
    <n v="22387196.41"/>
    <n v="24972054.539999999"/>
    <n v="20087235.77"/>
    <n v="15561359.439999999"/>
    <n v="6717843.7300000004"/>
    <n v="5626623.04"/>
    <n v="7206498.3350521615"/>
    <n v="6835845.8725778703"/>
    <n v="141938907.83763003"/>
  </r>
  <r>
    <x v="1"/>
    <x v="2"/>
    <x v="4"/>
    <s v="Скидка"/>
    <s v="Скидка"/>
    <s v="Скидка"/>
    <x v="1"/>
    <x v="20"/>
    <s v="Скидка"/>
    <x v="69"/>
    <m/>
    <m/>
    <n v="1287916.1802150384"/>
    <n v="1893835.715962179"/>
    <n v="1833823.2755877785"/>
    <n v="3958654.9169897065"/>
    <n v="8863479.307791695"/>
    <n v="8710987.5959610194"/>
    <n v="7662737.3546950296"/>
    <n v="5273115.2648480535"/>
    <n v="1385246.0337013938"/>
    <n v="1174960.6631976608"/>
    <n v="1165799.1039995253"/>
    <n v="995019.1906185504"/>
    <n v="44205574.60356763"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  <r>
    <x v="2"/>
    <x v="8"/>
    <x v="12"/>
    <m/>
    <m/>
    <m/>
    <x v="3"/>
    <x v="30"/>
    <m/>
    <x v="12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showHeaders="0" outline="1" outlineData="1" multipleFieldFilters="0">
  <location ref="A3:H56" firstHeaderRow="1" firstDataRow="3" firstDataCol="1"/>
  <pivotFields count="25">
    <pivotField axis="axisCol" showAll="0" defaultSubtotal="0">
      <items count="3">
        <item x="1"/>
        <item x="0"/>
        <item x="2"/>
      </items>
    </pivotField>
    <pivotField axis="axisRow" showAll="0">
      <items count="10">
        <item sd="0" x="5"/>
        <item sd="0" x="4"/>
        <item x="2"/>
        <item x="0"/>
        <item h="1" x="6"/>
        <item h="1" x="7"/>
        <item sd="0" x="3"/>
        <item h="1" x="8"/>
        <item sd="0" x="1"/>
        <item t="default"/>
      </items>
    </pivotField>
    <pivotField axis="axisRow" showAll="0">
      <items count="14">
        <item x="0"/>
        <item x="8"/>
        <item sd="0" x="3"/>
        <item sd="0" x="4"/>
        <item sd="0" x="5"/>
        <item x="1"/>
        <item sd="0" x="9"/>
        <item x="10"/>
        <item sd="0" x="6"/>
        <item x="11"/>
        <item x="7"/>
        <item x="2"/>
        <item x="12"/>
        <item t="default"/>
      </items>
    </pivotField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32">
        <item sd="0" x="5"/>
        <item sd="0" x="9"/>
        <item sd="0" x="25"/>
        <item sd="0" x="0"/>
        <item sd="0" x="1"/>
        <item sd="0" x="11"/>
        <item sd="0" x="26"/>
        <item sd="0" x="27"/>
        <item h="1" sd="0" x="28"/>
        <item sd="0" x="24"/>
        <item sd="0" x="18"/>
        <item sd="0" x="15"/>
        <item sd="0" x="6"/>
        <item sd="0" x="13"/>
        <item sd="0" x="12"/>
        <item sd="0" x="2"/>
        <item sd="0" x="3"/>
        <item sd="0" x="7"/>
        <item sd="0" x="10"/>
        <item sd="0" x="22"/>
        <item sd="0" x="14"/>
        <item sd="0" x="21"/>
        <item sd="0" x="8"/>
        <item sd="0" x="23"/>
        <item sd="0" x="17"/>
        <item sd="0" x="19"/>
        <item sd="0" x="20"/>
        <item sd="0" x="4"/>
        <item sd="0" x="16"/>
        <item sd="0" x="30"/>
        <item sd="0" x="29"/>
        <item t="default" sd="0"/>
      </items>
    </pivotField>
    <pivotField showAll="0"/>
    <pivotField axis="axisRow" showAll="0">
      <items count="125">
        <item x="18"/>
        <item x="19"/>
        <item x="49"/>
        <item x="4"/>
        <item x="16"/>
        <item x="34"/>
        <item x="28"/>
        <item x="70"/>
        <item x="50"/>
        <item x="51"/>
        <item x="82"/>
        <item x="2"/>
        <item x="35"/>
        <item x="83"/>
        <item x="101"/>
        <item x="94"/>
        <item x="78"/>
        <item x="10"/>
        <item x="52"/>
        <item x="11"/>
        <item x="53"/>
        <item x="104"/>
        <item x="20"/>
        <item x="0"/>
        <item x="33"/>
        <item x="14"/>
        <item x="57"/>
        <item x="40"/>
        <item x="1"/>
        <item x="61"/>
        <item x="37"/>
        <item x="13"/>
        <item x="21"/>
        <item x="22"/>
        <item x="12"/>
        <item x="5"/>
        <item x="23"/>
        <item x="3"/>
        <item x="81"/>
        <item x="27"/>
        <item x="89"/>
        <item x="105"/>
        <item x="106"/>
        <item x="107"/>
        <item x="54"/>
        <item x="87"/>
        <item x="55"/>
        <item x="62"/>
        <item x="103"/>
        <item x="67"/>
        <item x="15"/>
        <item x="72"/>
        <item x="6"/>
        <item x="7"/>
        <item x="29"/>
        <item x="17"/>
        <item x="60"/>
        <item x="44"/>
        <item x="41"/>
        <item x="98"/>
        <item x="38"/>
        <item x="45"/>
        <item x="31"/>
        <item x="90"/>
        <item x="59"/>
        <item x="25"/>
        <item x="46"/>
        <item x="63"/>
        <item x="76"/>
        <item x="73"/>
        <item x="77"/>
        <item x="79"/>
        <item x="93"/>
        <item x="75"/>
        <item x="71"/>
        <item x="47"/>
        <item x="91"/>
        <item x="42"/>
        <item x="64"/>
        <item x="36"/>
        <item x="74"/>
        <item x="92"/>
        <item x="8"/>
        <item x="9"/>
        <item x="56"/>
        <item x="30"/>
        <item x="99"/>
        <item x="100"/>
        <item x="65"/>
        <item x="66"/>
        <item x="80"/>
        <item x="97"/>
        <item x="86"/>
        <item x="58"/>
        <item x="68"/>
        <item x="69"/>
        <item x="39"/>
        <item x="95"/>
        <item x="48"/>
        <item x="26"/>
        <item x="102"/>
        <item x="84"/>
        <item x="88"/>
        <item x="85"/>
        <item x="32"/>
        <item x="43"/>
        <item x="24"/>
        <item x="96"/>
        <item x="123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4">
    <field x="1"/>
    <field x="2"/>
    <field x="7"/>
    <field x="9"/>
  </rowFields>
  <rowItems count="51">
    <i>
      <x/>
    </i>
    <i>
      <x v="1"/>
    </i>
    <i>
      <x v="2"/>
    </i>
    <i r="1">
      <x v="2"/>
    </i>
    <i r="1">
      <x v="3"/>
    </i>
    <i r="1">
      <x v="4"/>
    </i>
    <i r="1">
      <x v="5"/>
    </i>
    <i r="2">
      <x v="19"/>
    </i>
    <i r="2">
      <x v="20"/>
    </i>
    <i r="2">
      <x v="23"/>
    </i>
    <i r="1">
      <x v="8"/>
    </i>
    <i>
      <x v="3"/>
    </i>
    <i r="1">
      <x/>
    </i>
    <i r="2">
      <x/>
    </i>
    <i r="2"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4"/>
    </i>
    <i r="2">
      <x v="27"/>
    </i>
    <i r="2">
      <x v="28"/>
    </i>
    <i r="2">
      <x v="30"/>
    </i>
    <i r="1">
      <x v="4"/>
    </i>
    <i r="1">
      <x v="5"/>
    </i>
    <i r="2">
      <x v="1"/>
    </i>
    <i r="2">
      <x v="3"/>
    </i>
    <i r="2">
      <x v="4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4"/>
    </i>
    <i r="2">
      <x v="27"/>
    </i>
    <i r="1">
      <x v="8"/>
    </i>
    <i>
      <x v="6"/>
    </i>
    <i>
      <x v="8"/>
    </i>
  </rowItems>
  <colFields count="2">
    <field x="0"/>
    <field x="6"/>
  </colFields>
  <col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colItems>
  <dataFields count="1">
    <dataField name=" Общий итог" fld="24" baseField="0" baseItem="0" numFmtId="3"/>
  </dataFields>
  <formats count="23">
    <format dxfId="22">
      <pivotArea outline="0" collapsedLevelsAreSubtotals="1" fieldPosition="0"/>
    </format>
    <format dxfId="21">
      <pivotArea collapsedLevelsAreSubtotals="1" fieldPosition="0">
        <references count="4">
          <reference field="1" count="1" selected="0">
            <x v="2"/>
          </reference>
          <reference field="2" count="1" selected="0">
            <x v="8"/>
          </reference>
          <reference field="6" count="1" selected="0">
            <x v="2"/>
          </reference>
          <reference field="7" count="1">
            <x v="19"/>
          </reference>
        </references>
      </pivotArea>
    </format>
    <format dxfId="20">
      <pivotArea collapsedLevelsAreSubtotals="1" fieldPosition="0">
        <references count="4">
          <reference field="1" count="1" selected="0">
            <x v="2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20"/>
          </reference>
        </references>
      </pivotArea>
    </format>
    <format dxfId="19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7" count="1">
            <x v="28"/>
          </reference>
        </references>
      </pivotArea>
    </format>
    <format dxfId="18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7" count="1">
            <x v="0"/>
          </reference>
        </references>
      </pivotArea>
    </format>
    <format dxfId="17">
      <pivotArea collapsedLevelsAreSubtotals="1" fieldPosition="0">
        <references count="3">
          <reference field="1" count="1" selected="0">
            <x v="2"/>
          </reference>
          <reference field="2" count="1">
            <x v="8"/>
          </reference>
          <reference field="6" count="1" selected="0">
            <x v="2"/>
          </reference>
        </references>
      </pivotArea>
    </format>
    <format dxfId="16">
      <pivotArea collapsedLevelsAreSubtotals="1" fieldPosition="0">
        <references count="4">
          <reference field="1" count="1" selected="0">
            <x v="3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24"/>
          </reference>
        </references>
      </pivotArea>
    </format>
    <format dxfId="15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7" count="1">
            <x v="24"/>
          </reference>
        </references>
      </pivotArea>
    </format>
    <format dxfId="1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3">
          <reference field="1" count="1" selected="0">
            <x v="2"/>
          </reference>
          <reference field="2" count="1" selected="0">
            <x v="5"/>
          </reference>
          <reference field="7" count="1">
            <x v="23"/>
          </reference>
        </references>
      </pivotArea>
    </format>
    <format dxfId="9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7" count="1">
            <x v="20"/>
          </reference>
        </references>
      </pivotArea>
    </format>
    <format dxfId="8">
      <pivotArea collapsedLevelsAreSubtotals="1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19"/>
          </reference>
        </references>
      </pivotArea>
    </format>
    <format dxfId="7">
      <pivotArea collapsedLevelsAreSubtotals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6" count="2" selected="0">
            <x v="0"/>
            <x v="1"/>
          </reference>
          <reference field="7" count="1">
            <x v="19"/>
          </reference>
        </references>
      </pivotArea>
    </format>
    <format dxfId="6">
      <pivotArea collapsedLevelsAreSubtotals="1" fieldPosition="0">
        <references count="5">
          <reference field="0" count="2" selected="0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19"/>
          </reference>
        </references>
      </pivotArea>
    </format>
    <format dxfId="5">
      <pivotArea collapsedLevelsAreSubtotals="1" fieldPosition="0">
        <references count="5">
          <reference field="0" count="2" selected="0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19"/>
          </reference>
        </references>
      </pivotArea>
    </format>
    <format dxfId="4">
      <pivotArea collapsedLevelsAreSubtotals="1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6" count="1" selected="0">
            <x v="2"/>
          </reference>
          <reference field="7" count="1">
            <x v="20"/>
          </reference>
        </references>
      </pivotArea>
    </format>
    <format dxfId="3">
      <pivotArea collapsedLevelsAreSubtotals="1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6" count="3" selected="0">
            <x v="0"/>
            <x v="1"/>
            <x v="2"/>
          </reference>
          <reference field="7" count="1">
            <x v="19"/>
          </reference>
        </references>
      </pivotArea>
    </format>
    <format dxfId="2">
      <pivotArea collapsedLevelsAreSubtotals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6" count="2" selected="0">
            <x v="0"/>
            <x v="1"/>
          </reference>
          <reference field="7" count="1">
            <x v="19"/>
          </reference>
        </references>
      </pivotArea>
    </format>
    <format dxfId="1">
      <pivotArea collapsedLevelsAreSubtotals="1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  <reference field="6" count="1" selected="0">
            <x v="0"/>
          </reference>
          <reference field="7" count="1" selected="0">
            <x v="20"/>
          </reference>
          <reference field="9" count="1">
            <x v="103"/>
          </reference>
        </references>
      </pivotArea>
    </format>
    <format dxfId="0">
      <pivotArea dataOnly="0" labelOnly="1" fieldPosition="0">
        <references count="4">
          <reference field="1" count="1" selected="0">
            <x v="2"/>
          </reference>
          <reference field="2" count="1" selected="0">
            <x v="5"/>
          </reference>
          <reference field="7" count="1" selected="0">
            <x v="20"/>
          </reference>
          <reference field="9" count="1">
            <x v="103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F2:FE88"/>
  <sheetViews>
    <sheetView tabSelected="1" topLeftCell="A5" zoomScale="70" zoomScaleNormal="70" workbookViewId="0">
      <selection activeCell="I22" sqref="I22:S23"/>
    </sheetView>
  </sheetViews>
  <sheetFormatPr defaultColWidth="8.85546875" defaultRowHeight="12.75" outlineLevelCol="1"/>
  <cols>
    <col min="1" max="1" width="0.140625" style="439" customWidth="1"/>
    <col min="2" max="26" width="2.42578125" style="439" customWidth="1"/>
    <col min="27" max="33" width="2.42578125" style="439" customWidth="1" outlineLevel="1"/>
    <col min="34" max="34" width="3.42578125" style="439" customWidth="1" outlineLevel="1"/>
    <col min="35" max="74" width="2.42578125" style="439" customWidth="1" outlineLevel="1"/>
    <col min="75" max="82" width="2.42578125" style="439" customWidth="1"/>
    <col min="83" max="87" width="2.28515625" style="439" customWidth="1"/>
    <col min="88" max="88" width="2.7109375" style="439" hidden="1" customWidth="1"/>
    <col min="89" max="89" width="2.5703125" style="439" hidden="1" customWidth="1"/>
    <col min="90" max="90" width="3.140625" style="439" hidden="1" customWidth="1"/>
    <col min="91" max="91" width="2.5703125" style="439" hidden="1" customWidth="1"/>
    <col min="92" max="98" width="2" style="439" hidden="1" customWidth="1"/>
    <col min="99" max="105" width="2.28515625" style="439" hidden="1" customWidth="1"/>
    <col min="106" max="108" width="2" style="439" hidden="1" customWidth="1"/>
    <col min="109" max="109" width="3.140625" style="439" hidden="1" customWidth="1"/>
    <col min="110" max="115" width="2" style="439" hidden="1" customWidth="1"/>
    <col min="116" max="122" width="2.85546875" style="439" hidden="1" customWidth="1"/>
    <col min="123" max="161" width="2" style="439" hidden="1" customWidth="1"/>
    <col min="162" max="209" width="0" style="439" hidden="1" customWidth="1"/>
    <col min="210" max="16384" width="8.85546875" style="439"/>
  </cols>
  <sheetData>
    <row r="2" spans="6:102" ht="20.25">
      <c r="BB2" s="867" t="s">
        <v>619</v>
      </c>
      <c r="BC2" s="867"/>
      <c r="BD2" s="867"/>
      <c r="BE2" s="867"/>
      <c r="BF2" s="867"/>
      <c r="BG2" s="867"/>
      <c r="BH2" s="867"/>
      <c r="BI2" s="867"/>
      <c r="BJ2" s="867"/>
      <c r="BK2" s="867"/>
      <c r="BL2" s="867"/>
      <c r="BM2" s="867"/>
      <c r="BN2" s="867"/>
      <c r="BO2" s="867"/>
      <c r="BP2" s="867"/>
      <c r="BQ2" s="867"/>
      <c r="BR2" s="867"/>
      <c r="BS2" s="867"/>
      <c r="BT2" s="867"/>
      <c r="BU2" s="867"/>
      <c r="BV2" s="867"/>
      <c r="BW2" s="867"/>
      <c r="BX2" s="867"/>
      <c r="BY2" s="867"/>
      <c r="BZ2" s="867"/>
      <c r="CA2" s="867"/>
      <c r="CB2" s="867"/>
      <c r="CC2" s="867"/>
      <c r="CD2" s="867"/>
      <c r="CE2" s="867"/>
      <c r="CF2" s="867"/>
      <c r="CG2" s="867"/>
      <c r="CH2" s="867"/>
      <c r="CI2" s="867"/>
      <c r="CJ2" s="867"/>
      <c r="CK2" s="867"/>
      <c r="CL2" s="867"/>
      <c r="CM2" s="867"/>
      <c r="CN2" s="867"/>
      <c r="CO2" s="867"/>
      <c r="CP2" s="867"/>
      <c r="CQ2" s="867"/>
      <c r="CR2" s="440"/>
      <c r="CS2" s="440"/>
      <c r="CT2" s="440"/>
      <c r="CU2" s="440"/>
      <c r="CV2" s="440"/>
      <c r="CW2" s="440"/>
      <c r="CX2" s="440"/>
    </row>
    <row r="3" spans="6:102" ht="20.25">
      <c r="BB3" s="867"/>
      <c r="BC3" s="867"/>
      <c r="BD3" s="867"/>
      <c r="BE3" s="867"/>
      <c r="BF3" s="867"/>
      <c r="BG3" s="867"/>
      <c r="BH3" s="867"/>
      <c r="BI3" s="867"/>
      <c r="BJ3" s="867"/>
      <c r="BK3" s="867"/>
      <c r="BL3" s="867"/>
      <c r="BM3" s="867"/>
      <c r="BN3" s="867"/>
      <c r="BO3" s="867"/>
      <c r="BP3" s="867"/>
      <c r="BQ3" s="867"/>
      <c r="BR3" s="867"/>
      <c r="BS3" s="867"/>
      <c r="BT3" s="867"/>
      <c r="BU3" s="867"/>
      <c r="BV3" s="867"/>
      <c r="BW3" s="867"/>
      <c r="BX3" s="867"/>
      <c r="BY3" s="867"/>
      <c r="BZ3" s="867"/>
      <c r="CA3" s="867"/>
      <c r="CB3" s="867"/>
      <c r="CC3" s="867"/>
      <c r="CD3" s="867"/>
      <c r="CE3" s="867"/>
      <c r="CF3" s="867"/>
      <c r="CG3" s="867"/>
      <c r="CH3" s="867"/>
      <c r="CI3" s="867"/>
      <c r="CJ3" s="867"/>
      <c r="CK3" s="867"/>
      <c r="CL3" s="867"/>
      <c r="CM3" s="867"/>
      <c r="CN3" s="867"/>
      <c r="CO3" s="867"/>
      <c r="CP3" s="867"/>
      <c r="CQ3" s="867"/>
      <c r="CR3" s="440"/>
      <c r="CS3" s="440"/>
      <c r="CT3" s="440"/>
      <c r="CU3" s="440"/>
      <c r="CV3" s="440"/>
      <c r="CW3" s="440"/>
      <c r="CX3" s="440"/>
    </row>
    <row r="4" spans="6:102" ht="20.25">
      <c r="BB4" s="867"/>
      <c r="BC4" s="867"/>
      <c r="BD4" s="867"/>
      <c r="BE4" s="867"/>
      <c r="BF4" s="867"/>
      <c r="BG4" s="867"/>
      <c r="BH4" s="867"/>
      <c r="BI4" s="867"/>
      <c r="BJ4" s="867"/>
      <c r="BK4" s="867"/>
      <c r="BL4" s="867"/>
      <c r="BM4" s="867"/>
      <c r="BN4" s="867"/>
      <c r="BO4" s="867"/>
      <c r="BP4" s="867"/>
      <c r="BQ4" s="867"/>
      <c r="BR4" s="867"/>
      <c r="BS4" s="867"/>
      <c r="BT4" s="867"/>
      <c r="BU4" s="867"/>
      <c r="BV4" s="867"/>
      <c r="BW4" s="867"/>
      <c r="BX4" s="867"/>
      <c r="BY4" s="867"/>
      <c r="BZ4" s="867"/>
      <c r="CA4" s="867"/>
      <c r="CB4" s="867"/>
      <c r="CC4" s="867"/>
      <c r="CD4" s="867"/>
      <c r="CE4" s="867"/>
      <c r="CF4" s="867"/>
      <c r="CG4" s="867"/>
      <c r="CH4" s="867"/>
      <c r="CI4" s="867"/>
      <c r="CJ4" s="867"/>
      <c r="CK4" s="867"/>
      <c r="CL4" s="867"/>
      <c r="CM4" s="867"/>
      <c r="CN4" s="867"/>
      <c r="CO4" s="867"/>
      <c r="CP4" s="867"/>
      <c r="CQ4" s="867"/>
      <c r="CR4" s="440"/>
      <c r="CS4" s="440"/>
      <c r="CT4" s="440"/>
      <c r="CU4" s="440"/>
      <c r="CV4" s="440"/>
      <c r="CW4" s="440"/>
      <c r="CX4" s="440"/>
    </row>
    <row r="5" spans="6:102" ht="20.25">
      <c r="BB5" s="867"/>
      <c r="BC5" s="867"/>
      <c r="BD5" s="867"/>
      <c r="BE5" s="867"/>
      <c r="BF5" s="867"/>
      <c r="BG5" s="867"/>
      <c r="BH5" s="867"/>
      <c r="BI5" s="867"/>
      <c r="BJ5" s="867"/>
      <c r="BK5" s="867"/>
      <c r="BL5" s="867"/>
      <c r="BM5" s="867"/>
      <c r="BN5" s="867"/>
      <c r="BO5" s="867"/>
      <c r="BP5" s="867"/>
      <c r="BQ5" s="867"/>
      <c r="BR5" s="867"/>
      <c r="BS5" s="867"/>
      <c r="BT5" s="867"/>
      <c r="BU5" s="867"/>
      <c r="BV5" s="867"/>
      <c r="BW5" s="867"/>
      <c r="BX5" s="867"/>
      <c r="BY5" s="867"/>
      <c r="BZ5" s="867"/>
      <c r="CA5" s="867"/>
      <c r="CB5" s="867"/>
      <c r="CC5" s="867"/>
      <c r="CD5" s="867"/>
      <c r="CE5" s="867"/>
      <c r="CF5" s="867"/>
      <c r="CG5" s="867"/>
      <c r="CH5" s="867"/>
      <c r="CI5" s="867"/>
      <c r="CJ5" s="867"/>
      <c r="CK5" s="867"/>
      <c r="CL5" s="867"/>
      <c r="CM5" s="867"/>
      <c r="CN5" s="867"/>
      <c r="CO5" s="867"/>
      <c r="CP5" s="867"/>
      <c r="CQ5" s="867"/>
      <c r="CR5" s="440"/>
      <c r="CS5" s="440"/>
      <c r="CT5" s="440"/>
      <c r="CU5" s="440"/>
      <c r="CV5" s="440"/>
      <c r="CW5" s="440"/>
      <c r="CX5" s="440"/>
    </row>
    <row r="6" spans="6:102" ht="1.5" hidden="1" customHeight="1">
      <c r="R6" s="868"/>
      <c r="S6" s="869"/>
      <c r="T6" s="869"/>
      <c r="U6" s="869"/>
      <c r="V6" s="869"/>
      <c r="W6" s="869"/>
      <c r="X6" s="869"/>
      <c r="Y6" s="869"/>
      <c r="Z6" s="869"/>
      <c r="AA6" s="869"/>
      <c r="AB6" s="869"/>
      <c r="AC6" s="869"/>
      <c r="AD6" s="869"/>
      <c r="AE6" s="869"/>
      <c r="AF6" s="869"/>
      <c r="AG6" s="869"/>
      <c r="AH6" s="869"/>
      <c r="AI6" s="869"/>
      <c r="AJ6" s="869"/>
      <c r="AK6" s="869"/>
      <c r="AL6" s="869"/>
      <c r="AM6" s="869"/>
      <c r="AN6" s="869"/>
      <c r="AO6" s="869"/>
      <c r="AP6" s="869"/>
      <c r="AQ6" s="869"/>
      <c r="AR6" s="869"/>
      <c r="AS6" s="869"/>
      <c r="AT6" s="869"/>
      <c r="AU6" s="869"/>
      <c r="AV6" s="869"/>
      <c r="AW6" s="870"/>
      <c r="BM6" s="441"/>
      <c r="BN6" s="441"/>
      <c r="BO6" s="441"/>
      <c r="BP6" s="441"/>
      <c r="BQ6" s="441"/>
      <c r="BR6" s="441"/>
      <c r="BS6" s="441"/>
      <c r="BT6" s="441"/>
      <c r="BU6" s="441"/>
      <c r="BV6" s="441"/>
      <c r="BW6" s="441"/>
    </row>
    <row r="7" spans="6:102" ht="20.25" hidden="1">
      <c r="R7" s="871"/>
      <c r="S7" s="872"/>
      <c r="T7" s="872"/>
      <c r="U7" s="872"/>
      <c r="V7" s="872"/>
      <c r="W7" s="872"/>
      <c r="X7" s="872"/>
      <c r="Y7" s="872"/>
      <c r="Z7" s="872"/>
      <c r="AA7" s="872"/>
      <c r="AB7" s="872"/>
      <c r="AC7" s="872"/>
      <c r="AD7" s="872"/>
      <c r="AE7" s="872"/>
      <c r="AF7" s="872"/>
      <c r="AG7" s="872"/>
      <c r="AH7" s="872"/>
      <c r="AI7" s="872"/>
      <c r="AJ7" s="872"/>
      <c r="AK7" s="872"/>
      <c r="AL7" s="872"/>
      <c r="AM7" s="872"/>
      <c r="AN7" s="872"/>
      <c r="AO7" s="872"/>
      <c r="AP7" s="872"/>
      <c r="AQ7" s="872"/>
      <c r="AR7" s="872"/>
      <c r="AS7" s="872"/>
      <c r="AT7" s="872"/>
      <c r="AU7" s="872"/>
      <c r="AV7" s="872"/>
      <c r="AW7" s="873"/>
      <c r="BM7" s="441"/>
      <c r="BN7" s="441"/>
      <c r="BO7" s="441"/>
      <c r="BP7" s="441"/>
      <c r="BQ7" s="441"/>
      <c r="BR7" s="441"/>
      <c r="BS7" s="441"/>
      <c r="BT7" s="441"/>
      <c r="BU7" s="441"/>
      <c r="BV7" s="441"/>
      <c r="BW7" s="441"/>
    </row>
    <row r="8" spans="6:102" ht="21" hidden="1" thickBot="1">
      <c r="R8" s="874"/>
      <c r="S8" s="875"/>
      <c r="T8" s="875"/>
      <c r="U8" s="875"/>
      <c r="V8" s="875"/>
      <c r="W8" s="875"/>
      <c r="X8" s="875"/>
      <c r="Y8" s="875"/>
      <c r="Z8" s="875"/>
      <c r="AA8" s="875"/>
      <c r="AB8" s="875"/>
      <c r="AC8" s="875"/>
      <c r="AD8" s="875"/>
      <c r="AE8" s="875"/>
      <c r="AF8" s="875"/>
      <c r="AG8" s="875"/>
      <c r="AH8" s="875"/>
      <c r="AI8" s="875"/>
      <c r="AJ8" s="875"/>
      <c r="AK8" s="875"/>
      <c r="AL8" s="875"/>
      <c r="AM8" s="875"/>
      <c r="AN8" s="875"/>
      <c r="AO8" s="875"/>
      <c r="AP8" s="875"/>
      <c r="AQ8" s="875"/>
      <c r="AR8" s="875"/>
      <c r="AS8" s="875"/>
      <c r="AT8" s="875"/>
      <c r="AU8" s="875"/>
      <c r="AV8" s="875"/>
      <c r="AW8" s="876"/>
      <c r="BM8" s="441"/>
      <c r="BN8" s="441"/>
      <c r="BO8" s="441"/>
      <c r="BP8" s="441"/>
      <c r="BQ8" s="441"/>
      <c r="BR8" s="441"/>
      <c r="BS8" s="441"/>
      <c r="BT8" s="441"/>
      <c r="BU8" s="441"/>
      <c r="BV8" s="441"/>
      <c r="BW8" s="441"/>
    </row>
    <row r="9" spans="6:102" ht="13.5" thickBot="1"/>
    <row r="10" spans="6:102" ht="15" customHeight="1">
      <c r="AM10" s="877" t="s">
        <v>620</v>
      </c>
      <c r="AN10" s="878"/>
      <c r="AO10" s="878"/>
      <c r="AP10" s="878"/>
      <c r="AQ10" s="878"/>
      <c r="AR10" s="878"/>
      <c r="AS10" s="878"/>
      <c r="AT10" s="878"/>
      <c r="AU10" s="878"/>
      <c r="AV10" s="878"/>
      <c r="AW10" s="878"/>
      <c r="AX10" s="878"/>
      <c r="AY10" s="879"/>
    </row>
    <row r="11" spans="6:102" ht="12.75" customHeight="1">
      <c r="AM11" s="880"/>
      <c r="AN11" s="881"/>
      <c r="AO11" s="881"/>
      <c r="AP11" s="881"/>
      <c r="AQ11" s="881"/>
      <c r="AR11" s="881"/>
      <c r="AS11" s="881"/>
      <c r="AT11" s="881"/>
      <c r="AU11" s="881"/>
      <c r="AV11" s="881"/>
      <c r="AW11" s="881"/>
      <c r="AX11" s="881"/>
      <c r="AY11" s="882"/>
    </row>
    <row r="12" spans="6:102" ht="12.75" customHeight="1">
      <c r="AM12" s="880"/>
      <c r="AN12" s="881"/>
      <c r="AO12" s="881"/>
      <c r="AP12" s="881"/>
      <c r="AQ12" s="881"/>
      <c r="AR12" s="881"/>
      <c r="AS12" s="881"/>
      <c r="AT12" s="881"/>
      <c r="AU12" s="881"/>
      <c r="AV12" s="881"/>
      <c r="AW12" s="881"/>
      <c r="AX12" s="881"/>
      <c r="AY12" s="882"/>
    </row>
    <row r="13" spans="6:102" ht="13.5" customHeight="1" thickBot="1">
      <c r="AM13" s="883"/>
      <c r="AN13" s="884"/>
      <c r="AO13" s="884"/>
      <c r="AP13" s="884"/>
      <c r="AQ13" s="884"/>
      <c r="AR13" s="884"/>
      <c r="AS13" s="884"/>
      <c r="AT13" s="884"/>
      <c r="AU13" s="884"/>
      <c r="AV13" s="884"/>
      <c r="AW13" s="884"/>
      <c r="AX13" s="884"/>
      <c r="AY13" s="885"/>
    </row>
    <row r="15" spans="6:102" ht="21" thickBot="1">
      <c r="Q15" s="886"/>
      <c r="R15" s="886"/>
      <c r="BG15" s="442">
        <v>13</v>
      </c>
    </row>
    <row r="16" spans="6:102" ht="13.5" customHeight="1">
      <c r="F16" s="877" t="s">
        <v>621</v>
      </c>
      <c r="G16" s="878"/>
      <c r="H16" s="878"/>
      <c r="I16" s="878"/>
      <c r="J16" s="878"/>
      <c r="K16" s="878"/>
      <c r="L16" s="878"/>
      <c r="M16" s="878"/>
      <c r="N16" s="878"/>
      <c r="O16" s="879"/>
      <c r="Q16" s="886"/>
      <c r="R16" s="886"/>
      <c r="AB16" s="877" t="s">
        <v>622</v>
      </c>
      <c r="AC16" s="878"/>
      <c r="AD16" s="878"/>
      <c r="AE16" s="878"/>
      <c r="AF16" s="878"/>
      <c r="AG16" s="878"/>
      <c r="AH16" s="878"/>
      <c r="AI16" s="878"/>
      <c r="AJ16" s="878"/>
      <c r="AK16" s="879"/>
      <c r="AP16" s="443"/>
      <c r="AQ16" s="443"/>
      <c r="BC16" s="877" t="s">
        <v>623</v>
      </c>
      <c r="BD16" s="878"/>
      <c r="BE16" s="878"/>
      <c r="BF16" s="878"/>
      <c r="BG16" s="878"/>
      <c r="BH16" s="878"/>
      <c r="BI16" s="878"/>
      <c r="BJ16" s="878"/>
      <c r="BK16" s="878"/>
      <c r="BL16" s="878"/>
      <c r="BM16" s="878"/>
      <c r="BN16" s="878"/>
      <c r="BO16" s="879"/>
      <c r="BV16" s="877" t="s">
        <v>624</v>
      </c>
      <c r="BW16" s="878"/>
      <c r="BX16" s="878"/>
      <c r="BY16" s="878"/>
      <c r="BZ16" s="878"/>
      <c r="CA16" s="879"/>
      <c r="CE16" s="887" t="s">
        <v>625</v>
      </c>
      <c r="CF16" s="888"/>
      <c r="CG16" s="888"/>
      <c r="CH16" s="888"/>
      <c r="CI16" s="889"/>
    </row>
    <row r="17" spans="6:102" ht="12.75" customHeight="1">
      <c r="F17" s="880"/>
      <c r="G17" s="881"/>
      <c r="H17" s="881"/>
      <c r="I17" s="881"/>
      <c r="J17" s="881"/>
      <c r="K17" s="881"/>
      <c r="L17" s="881"/>
      <c r="M17" s="881"/>
      <c r="N17" s="881"/>
      <c r="O17" s="882"/>
      <c r="AB17" s="880"/>
      <c r="AC17" s="881"/>
      <c r="AD17" s="881"/>
      <c r="AE17" s="881"/>
      <c r="AF17" s="881"/>
      <c r="AG17" s="881"/>
      <c r="AH17" s="881"/>
      <c r="AI17" s="881"/>
      <c r="AJ17" s="881"/>
      <c r="AK17" s="882"/>
      <c r="BC17" s="880"/>
      <c r="BD17" s="881"/>
      <c r="BE17" s="881"/>
      <c r="BF17" s="881"/>
      <c r="BG17" s="881"/>
      <c r="BH17" s="881"/>
      <c r="BI17" s="881"/>
      <c r="BJ17" s="881"/>
      <c r="BK17" s="881"/>
      <c r="BL17" s="881"/>
      <c r="BM17" s="881"/>
      <c r="BN17" s="881"/>
      <c r="BO17" s="882"/>
      <c r="BV17" s="880"/>
      <c r="BW17" s="881"/>
      <c r="BX17" s="881"/>
      <c r="BY17" s="881"/>
      <c r="BZ17" s="881"/>
      <c r="CA17" s="882"/>
      <c r="CE17" s="890"/>
      <c r="CF17" s="891"/>
      <c r="CG17" s="891"/>
      <c r="CH17" s="891"/>
      <c r="CI17" s="892"/>
    </row>
    <row r="18" spans="6:102" ht="13.5" customHeight="1" thickBot="1">
      <c r="F18" s="883"/>
      <c r="G18" s="884"/>
      <c r="H18" s="884"/>
      <c r="I18" s="884"/>
      <c r="J18" s="884"/>
      <c r="K18" s="884"/>
      <c r="L18" s="884"/>
      <c r="M18" s="884"/>
      <c r="N18" s="884"/>
      <c r="O18" s="885"/>
      <c r="AB18" s="883"/>
      <c r="AC18" s="884"/>
      <c r="AD18" s="884"/>
      <c r="AE18" s="884"/>
      <c r="AF18" s="884"/>
      <c r="AG18" s="884"/>
      <c r="AH18" s="884"/>
      <c r="AI18" s="884"/>
      <c r="AJ18" s="884"/>
      <c r="AK18" s="885"/>
      <c r="BC18" s="883"/>
      <c r="BD18" s="884"/>
      <c r="BE18" s="884"/>
      <c r="BF18" s="884"/>
      <c r="BG18" s="884"/>
      <c r="BH18" s="884"/>
      <c r="BI18" s="884"/>
      <c r="BJ18" s="884"/>
      <c r="BK18" s="884"/>
      <c r="BL18" s="884"/>
      <c r="BM18" s="884"/>
      <c r="BN18" s="884"/>
      <c r="BO18" s="885"/>
      <c r="BV18" s="896"/>
      <c r="BW18" s="884"/>
      <c r="BX18" s="884"/>
      <c r="BY18" s="884"/>
      <c r="BZ18" s="884"/>
      <c r="CA18" s="885"/>
      <c r="CE18" s="893"/>
      <c r="CF18" s="894"/>
      <c r="CG18" s="894"/>
      <c r="CH18" s="894"/>
      <c r="CI18" s="895"/>
    </row>
    <row r="19" spans="6:102">
      <c r="CA19" s="444"/>
    </row>
    <row r="20" spans="6:102">
      <c r="L20" s="854"/>
      <c r="M20" s="854"/>
      <c r="N20" s="854"/>
      <c r="O20" s="854"/>
      <c r="P20" s="854"/>
      <c r="AJ20" s="445"/>
      <c r="AK20" s="445"/>
      <c r="AL20" s="445"/>
      <c r="AM20" s="445"/>
      <c r="AN20" s="445"/>
      <c r="BB20" s="444"/>
      <c r="BI20" s="854"/>
      <c r="BJ20" s="854"/>
      <c r="BK20" s="854"/>
      <c r="BL20" s="854"/>
      <c r="BM20" s="854"/>
      <c r="BW20" s="446"/>
      <c r="CA20" s="444"/>
    </row>
    <row r="21" spans="6:102">
      <c r="BB21" s="444"/>
      <c r="CA21" s="444"/>
    </row>
    <row r="22" spans="6:102" ht="12.75" customHeight="1">
      <c r="I22" s="855" t="s">
        <v>828</v>
      </c>
      <c r="J22" s="856"/>
      <c r="K22" s="856"/>
      <c r="L22" s="856"/>
      <c r="M22" s="856"/>
      <c r="N22" s="856"/>
      <c r="O22" s="856"/>
      <c r="P22" s="856"/>
      <c r="Q22" s="856"/>
      <c r="R22" s="856"/>
      <c r="S22" s="857"/>
      <c r="AH22" s="861" t="s">
        <v>626</v>
      </c>
      <c r="AI22" s="862"/>
      <c r="AJ22" s="862"/>
      <c r="AK22" s="862"/>
      <c r="AL22" s="862"/>
      <c r="AM22" s="862"/>
      <c r="AN22" s="862"/>
      <c r="AO22" s="862"/>
      <c r="AP22" s="862"/>
      <c r="AQ22" s="862"/>
      <c r="AR22" s="863"/>
      <c r="BB22" s="444"/>
      <c r="BF22" s="861" t="s">
        <v>627</v>
      </c>
      <c r="BG22" s="862"/>
      <c r="BH22" s="862"/>
      <c r="BI22" s="862"/>
      <c r="BJ22" s="862"/>
      <c r="BK22" s="862"/>
      <c r="BL22" s="862"/>
      <c r="BM22" s="862"/>
      <c r="BN22" s="862"/>
      <c r="BO22" s="862"/>
      <c r="BP22" s="863"/>
      <c r="CA22" s="444"/>
    </row>
    <row r="23" spans="6:102">
      <c r="I23" s="858"/>
      <c r="J23" s="859"/>
      <c r="K23" s="859"/>
      <c r="L23" s="859"/>
      <c r="M23" s="859"/>
      <c r="N23" s="859"/>
      <c r="O23" s="859"/>
      <c r="P23" s="859"/>
      <c r="Q23" s="859"/>
      <c r="R23" s="859"/>
      <c r="S23" s="860"/>
      <c r="AH23" s="864"/>
      <c r="AI23" s="865"/>
      <c r="AJ23" s="865"/>
      <c r="AK23" s="865"/>
      <c r="AL23" s="865"/>
      <c r="AM23" s="865"/>
      <c r="AN23" s="865"/>
      <c r="AO23" s="865"/>
      <c r="AP23" s="865"/>
      <c r="AQ23" s="865"/>
      <c r="AR23" s="866"/>
      <c r="BB23" s="444"/>
      <c r="BF23" s="864"/>
      <c r="BG23" s="865"/>
      <c r="BH23" s="865"/>
      <c r="BI23" s="865"/>
      <c r="BJ23" s="865"/>
      <c r="BK23" s="865"/>
      <c r="BL23" s="865"/>
      <c r="BM23" s="865"/>
      <c r="BN23" s="865"/>
      <c r="BO23" s="865"/>
      <c r="BP23" s="866"/>
      <c r="CA23" s="444"/>
    </row>
    <row r="24" spans="6:102">
      <c r="AR24" s="447"/>
      <c r="AS24" s="447"/>
      <c r="AT24" s="444"/>
      <c r="BB24" s="444"/>
    </row>
    <row r="25" spans="6:102">
      <c r="AR25" s="448"/>
      <c r="AS25" s="448"/>
      <c r="BB25" s="444"/>
    </row>
    <row r="26" spans="6:102">
      <c r="L26" s="808" t="s">
        <v>628</v>
      </c>
      <c r="M26" s="832"/>
      <c r="N26" s="832"/>
      <c r="O26" s="832"/>
      <c r="P26" s="832"/>
      <c r="Q26" s="832"/>
      <c r="R26" s="832"/>
      <c r="S26" s="832"/>
      <c r="T26" s="832"/>
      <c r="U26" s="832"/>
      <c r="V26" s="833"/>
      <c r="AK26" s="802" t="s">
        <v>629</v>
      </c>
      <c r="AL26" s="803"/>
      <c r="AM26" s="803"/>
      <c r="AN26" s="803"/>
      <c r="AO26" s="803"/>
      <c r="AP26" s="803"/>
      <c r="AQ26" s="803"/>
      <c r="AR26" s="803"/>
      <c r="AS26" s="803"/>
      <c r="AT26" s="803"/>
      <c r="AU26" s="804"/>
      <c r="BB26" s="444"/>
      <c r="BI26" s="848" t="s">
        <v>630</v>
      </c>
      <c r="BJ26" s="849"/>
      <c r="BK26" s="849"/>
      <c r="BL26" s="849"/>
      <c r="BM26" s="849"/>
      <c r="BN26" s="849"/>
      <c r="BO26" s="849"/>
      <c r="BP26" s="849"/>
      <c r="BQ26" s="849"/>
      <c r="BR26" s="849"/>
      <c r="BS26" s="850"/>
      <c r="CA26" s="444"/>
    </row>
    <row r="27" spans="6:102">
      <c r="L27" s="834"/>
      <c r="M27" s="835"/>
      <c r="N27" s="835"/>
      <c r="O27" s="835"/>
      <c r="P27" s="835"/>
      <c r="Q27" s="835"/>
      <c r="R27" s="835"/>
      <c r="S27" s="835"/>
      <c r="T27" s="835"/>
      <c r="U27" s="835"/>
      <c r="V27" s="836"/>
      <c r="AK27" s="805"/>
      <c r="AL27" s="806"/>
      <c r="AM27" s="806"/>
      <c r="AN27" s="806"/>
      <c r="AO27" s="806"/>
      <c r="AP27" s="806"/>
      <c r="AQ27" s="806"/>
      <c r="AR27" s="806"/>
      <c r="AS27" s="806"/>
      <c r="AT27" s="806"/>
      <c r="AU27" s="807"/>
      <c r="BB27" s="444"/>
      <c r="BI27" s="851"/>
      <c r="BJ27" s="852"/>
      <c r="BK27" s="852"/>
      <c r="BL27" s="852"/>
      <c r="BM27" s="852"/>
      <c r="BN27" s="852"/>
      <c r="BO27" s="852"/>
      <c r="BP27" s="852"/>
      <c r="BQ27" s="852"/>
      <c r="BR27" s="852"/>
      <c r="BS27" s="853"/>
      <c r="CA27" s="444"/>
    </row>
    <row r="28" spans="6:102" s="444" customFormat="1">
      <c r="G28" s="439"/>
      <c r="H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U28" s="439"/>
      <c r="AV28" s="439"/>
      <c r="AW28" s="439"/>
      <c r="AX28" s="439"/>
      <c r="AY28" s="439"/>
      <c r="BC28" s="439"/>
      <c r="BD28" s="439"/>
      <c r="BE28" s="439"/>
      <c r="BF28" s="439"/>
      <c r="BG28" s="439"/>
      <c r="BH28" s="439"/>
      <c r="BI28" s="439"/>
      <c r="BJ28" s="439"/>
      <c r="BK28" s="439"/>
      <c r="BL28" s="439"/>
      <c r="BM28" s="439"/>
      <c r="BN28" s="439"/>
      <c r="BO28" s="439"/>
      <c r="BP28" s="439"/>
      <c r="BQ28" s="439"/>
      <c r="BR28" s="439"/>
      <c r="BS28" s="439"/>
      <c r="BT28" s="439"/>
      <c r="BU28" s="439"/>
      <c r="BV28" s="439"/>
      <c r="BW28" s="439"/>
      <c r="BX28" s="439"/>
      <c r="BY28" s="439"/>
      <c r="BZ28" s="439"/>
    </row>
    <row r="29" spans="6:102" s="444" customFormat="1">
      <c r="G29" s="439"/>
      <c r="H29" s="439"/>
      <c r="O29" s="439"/>
      <c r="P29" s="439"/>
      <c r="Q29" s="439"/>
      <c r="R29" s="439"/>
      <c r="S29" s="439"/>
      <c r="T29" s="439"/>
      <c r="U29" s="439"/>
      <c r="AA29" s="449"/>
      <c r="AB29" s="449"/>
      <c r="AC29" s="439"/>
      <c r="AD29" s="439"/>
      <c r="AE29" s="439"/>
      <c r="AF29" s="439"/>
      <c r="AG29" s="439"/>
      <c r="AH29" s="439"/>
      <c r="AI29" s="439"/>
      <c r="AU29" s="439"/>
      <c r="AV29" s="439"/>
      <c r="AW29" s="439"/>
      <c r="AX29" s="439"/>
      <c r="AY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  <c r="BM29" s="439"/>
      <c r="BN29" s="439"/>
      <c r="BO29" s="439"/>
      <c r="BP29" s="439"/>
      <c r="BQ29" s="439"/>
      <c r="BR29" s="439"/>
      <c r="BS29" s="439"/>
      <c r="BT29" s="439"/>
      <c r="BU29" s="439"/>
      <c r="BV29" s="439"/>
      <c r="BW29" s="439"/>
      <c r="BX29" s="439"/>
      <c r="BY29" s="439"/>
      <c r="BZ29" s="439"/>
    </row>
    <row r="30" spans="6:102" ht="12.75" customHeight="1">
      <c r="L30" s="802" t="s">
        <v>631</v>
      </c>
      <c r="M30" s="837"/>
      <c r="N30" s="837"/>
      <c r="O30" s="837"/>
      <c r="P30" s="837"/>
      <c r="Q30" s="837"/>
      <c r="R30" s="837"/>
      <c r="S30" s="837"/>
      <c r="T30" s="837"/>
      <c r="U30" s="837"/>
      <c r="V30" s="838"/>
      <c r="AN30" s="808" t="s">
        <v>632</v>
      </c>
      <c r="AO30" s="809"/>
      <c r="AP30" s="809"/>
      <c r="AQ30" s="809"/>
      <c r="AR30" s="809"/>
      <c r="AS30" s="809"/>
      <c r="AT30" s="809"/>
      <c r="AU30" s="809"/>
      <c r="AV30" s="809"/>
      <c r="AW30" s="809"/>
      <c r="AX30" s="810"/>
      <c r="BB30" s="444"/>
      <c r="BL30" s="808" t="s">
        <v>633</v>
      </c>
      <c r="BM30" s="809"/>
      <c r="BN30" s="809"/>
      <c r="BO30" s="809"/>
      <c r="BP30" s="809"/>
      <c r="BQ30" s="809"/>
      <c r="BR30" s="809"/>
      <c r="BS30" s="809"/>
      <c r="BT30" s="809"/>
      <c r="BU30" s="809"/>
      <c r="BV30" s="810"/>
      <c r="CA30" s="444"/>
      <c r="CN30" s="842"/>
      <c r="CO30" s="843"/>
      <c r="CP30" s="843"/>
      <c r="CQ30" s="843"/>
      <c r="CR30" s="843"/>
      <c r="CS30" s="843"/>
      <c r="CT30" s="843"/>
      <c r="CU30" s="843"/>
      <c r="CV30" s="843"/>
      <c r="CW30" s="843"/>
      <c r="CX30" s="844"/>
    </row>
    <row r="31" spans="6:102" ht="13.5" customHeight="1">
      <c r="G31" s="444"/>
      <c r="H31" s="444"/>
      <c r="L31" s="839"/>
      <c r="M31" s="840"/>
      <c r="N31" s="840"/>
      <c r="O31" s="840"/>
      <c r="P31" s="840"/>
      <c r="Q31" s="840"/>
      <c r="R31" s="840"/>
      <c r="S31" s="840"/>
      <c r="T31" s="840"/>
      <c r="U31" s="840"/>
      <c r="V31" s="841"/>
      <c r="AN31" s="811"/>
      <c r="AO31" s="812"/>
      <c r="AP31" s="812"/>
      <c r="AQ31" s="812"/>
      <c r="AR31" s="812"/>
      <c r="AS31" s="812"/>
      <c r="AT31" s="812"/>
      <c r="AU31" s="812"/>
      <c r="AV31" s="812"/>
      <c r="AW31" s="812"/>
      <c r="AX31" s="813"/>
      <c r="BB31" s="444"/>
      <c r="BL31" s="811"/>
      <c r="BM31" s="812"/>
      <c r="BN31" s="812"/>
      <c r="BO31" s="812"/>
      <c r="BP31" s="812"/>
      <c r="BQ31" s="812"/>
      <c r="BR31" s="812"/>
      <c r="BS31" s="812"/>
      <c r="BT31" s="812"/>
      <c r="BU31" s="812"/>
      <c r="BV31" s="813"/>
      <c r="CA31" s="444"/>
      <c r="CN31" s="845"/>
      <c r="CO31" s="846"/>
      <c r="CP31" s="846"/>
      <c r="CQ31" s="846"/>
      <c r="CR31" s="846"/>
      <c r="CS31" s="846"/>
      <c r="CT31" s="846"/>
      <c r="CU31" s="846"/>
      <c r="CV31" s="846"/>
      <c r="CW31" s="846"/>
      <c r="CX31" s="847"/>
    </row>
    <row r="32" spans="6:102">
      <c r="G32" s="444"/>
      <c r="H32" s="444"/>
      <c r="AA32" s="449"/>
      <c r="AB32" s="449"/>
      <c r="BP32" s="444"/>
    </row>
    <row r="33" spans="9:102">
      <c r="AA33" s="449"/>
      <c r="AB33" s="449"/>
      <c r="AV33" s="447"/>
      <c r="AW33" s="447"/>
      <c r="AX33" s="444"/>
      <c r="BP33" s="444"/>
    </row>
    <row r="34" spans="9:102" ht="12.75" customHeight="1">
      <c r="L34" s="808" t="s">
        <v>634</v>
      </c>
      <c r="M34" s="832"/>
      <c r="N34" s="832"/>
      <c r="O34" s="832"/>
      <c r="P34" s="832"/>
      <c r="Q34" s="832"/>
      <c r="R34" s="832"/>
      <c r="S34" s="832"/>
      <c r="T34" s="832"/>
      <c r="U34" s="832"/>
      <c r="V34" s="833"/>
      <c r="AA34" s="444"/>
      <c r="AB34" s="444"/>
      <c r="AN34" s="808" t="s">
        <v>632</v>
      </c>
      <c r="AO34" s="809"/>
      <c r="AP34" s="809"/>
      <c r="AQ34" s="809"/>
      <c r="AR34" s="809"/>
      <c r="AS34" s="809"/>
      <c r="AT34" s="809"/>
      <c r="AU34" s="809"/>
      <c r="AV34" s="809"/>
      <c r="AW34" s="809"/>
      <c r="AX34" s="810"/>
      <c r="BL34" s="802" t="s">
        <v>633</v>
      </c>
      <c r="BM34" s="803"/>
      <c r="BN34" s="803"/>
      <c r="BO34" s="803"/>
      <c r="BP34" s="803"/>
      <c r="BQ34" s="803"/>
      <c r="BR34" s="803"/>
      <c r="BS34" s="803"/>
      <c r="BT34" s="803"/>
      <c r="BU34" s="803"/>
      <c r="BV34" s="804"/>
    </row>
    <row r="35" spans="9:102">
      <c r="L35" s="834"/>
      <c r="M35" s="835"/>
      <c r="N35" s="835"/>
      <c r="O35" s="835"/>
      <c r="P35" s="835"/>
      <c r="Q35" s="835"/>
      <c r="R35" s="835"/>
      <c r="S35" s="835"/>
      <c r="T35" s="835"/>
      <c r="U35" s="835"/>
      <c r="V35" s="836"/>
      <c r="AN35" s="811"/>
      <c r="AO35" s="812"/>
      <c r="AP35" s="812"/>
      <c r="AQ35" s="812"/>
      <c r="AR35" s="812"/>
      <c r="AS35" s="812"/>
      <c r="AT35" s="812"/>
      <c r="AU35" s="812"/>
      <c r="AV35" s="812"/>
      <c r="AW35" s="812"/>
      <c r="AX35" s="813"/>
      <c r="BL35" s="805"/>
      <c r="BM35" s="806"/>
      <c r="BN35" s="806"/>
      <c r="BO35" s="806"/>
      <c r="BP35" s="806"/>
      <c r="BQ35" s="806"/>
      <c r="BR35" s="806"/>
      <c r="BS35" s="806"/>
      <c r="BT35" s="806"/>
      <c r="BU35" s="806"/>
      <c r="BV35" s="807"/>
    </row>
    <row r="36" spans="9:102"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/>
      <c r="BH36" s="444"/>
    </row>
    <row r="37" spans="9:102" ht="12.75" customHeight="1">
      <c r="I37" s="450"/>
      <c r="J37" s="450"/>
      <c r="K37" s="450"/>
      <c r="L37" s="450"/>
      <c r="M37" s="450"/>
      <c r="N37" s="450"/>
      <c r="O37" s="444"/>
      <c r="P37" s="444"/>
      <c r="Q37" s="444"/>
      <c r="R37" s="444"/>
      <c r="S37" s="444"/>
      <c r="T37" s="444"/>
      <c r="U37" s="444"/>
      <c r="V37" s="444"/>
      <c r="W37" s="444"/>
      <c r="X37" s="444"/>
      <c r="Y37" s="444"/>
      <c r="AA37" s="444"/>
      <c r="AB37" s="444"/>
      <c r="AR37" s="450"/>
      <c r="AS37" s="450"/>
      <c r="AT37" s="450"/>
      <c r="AU37" s="450"/>
      <c r="BH37" s="444"/>
    </row>
    <row r="38" spans="9:102" ht="13.5" customHeight="1">
      <c r="L38" s="808" t="s">
        <v>635</v>
      </c>
      <c r="M38" s="832"/>
      <c r="N38" s="832"/>
      <c r="O38" s="832"/>
      <c r="P38" s="832"/>
      <c r="Q38" s="832"/>
      <c r="R38" s="832"/>
      <c r="S38" s="832"/>
      <c r="T38" s="832"/>
      <c r="U38" s="832"/>
      <c r="V38" s="833"/>
      <c r="AA38" s="449"/>
      <c r="AB38" s="449"/>
      <c r="AN38" s="808" t="s">
        <v>632</v>
      </c>
      <c r="AO38" s="809"/>
      <c r="AP38" s="809"/>
      <c r="AQ38" s="809"/>
      <c r="AR38" s="809"/>
      <c r="AS38" s="809"/>
      <c r="AT38" s="809"/>
      <c r="AU38" s="809"/>
      <c r="AV38" s="809"/>
      <c r="AW38" s="809"/>
      <c r="AX38" s="810"/>
      <c r="BH38" s="444"/>
      <c r="BL38" s="802" t="s">
        <v>633</v>
      </c>
      <c r="BM38" s="803"/>
      <c r="BN38" s="803"/>
      <c r="BO38" s="803"/>
      <c r="BP38" s="803"/>
      <c r="BQ38" s="803"/>
      <c r="BR38" s="803"/>
      <c r="BS38" s="803"/>
      <c r="BT38" s="803"/>
      <c r="BU38" s="803"/>
      <c r="BV38" s="804"/>
    </row>
    <row r="39" spans="9:102">
      <c r="L39" s="834"/>
      <c r="M39" s="835"/>
      <c r="N39" s="835"/>
      <c r="O39" s="835"/>
      <c r="P39" s="835"/>
      <c r="Q39" s="835"/>
      <c r="R39" s="835"/>
      <c r="S39" s="835"/>
      <c r="T39" s="835"/>
      <c r="U39" s="835"/>
      <c r="V39" s="836"/>
      <c r="AA39" s="449"/>
      <c r="AB39" s="449"/>
      <c r="AH39" s="450"/>
      <c r="AI39" s="450"/>
      <c r="AJ39" s="450"/>
      <c r="AN39" s="811"/>
      <c r="AO39" s="812"/>
      <c r="AP39" s="812"/>
      <c r="AQ39" s="812"/>
      <c r="AR39" s="812"/>
      <c r="AS39" s="812"/>
      <c r="AT39" s="812"/>
      <c r="AU39" s="812"/>
      <c r="AV39" s="812"/>
      <c r="AW39" s="812"/>
      <c r="AX39" s="813"/>
      <c r="BH39" s="444"/>
      <c r="BL39" s="805"/>
      <c r="BM39" s="806"/>
      <c r="BN39" s="806"/>
      <c r="BO39" s="806"/>
      <c r="BP39" s="806"/>
      <c r="BQ39" s="806"/>
      <c r="BR39" s="806"/>
      <c r="BS39" s="806"/>
      <c r="BT39" s="806"/>
      <c r="BU39" s="806"/>
      <c r="BV39" s="807"/>
      <c r="CN39" s="820"/>
      <c r="CO39" s="821"/>
      <c r="CP39" s="821"/>
      <c r="CQ39" s="821"/>
      <c r="CR39" s="821"/>
      <c r="CS39" s="821"/>
      <c r="CT39" s="821"/>
      <c r="CU39" s="821"/>
      <c r="CV39" s="821"/>
      <c r="CW39" s="821"/>
      <c r="CX39" s="822"/>
    </row>
    <row r="40" spans="9:102">
      <c r="BH40" s="444"/>
      <c r="CN40" s="823"/>
      <c r="CO40" s="824"/>
      <c r="CP40" s="824"/>
      <c r="CQ40" s="824"/>
      <c r="CR40" s="824"/>
      <c r="CS40" s="824"/>
      <c r="CT40" s="824"/>
      <c r="CU40" s="824"/>
      <c r="CV40" s="824"/>
      <c r="CW40" s="824"/>
      <c r="CX40" s="825"/>
    </row>
    <row r="41" spans="9:102" ht="12.75" customHeight="1">
      <c r="BH41" s="444"/>
      <c r="BO41" s="826" t="s">
        <v>827</v>
      </c>
      <c r="BP41" s="827"/>
      <c r="BQ41" s="827"/>
      <c r="BR41" s="827"/>
      <c r="BS41" s="827"/>
      <c r="BT41" s="827"/>
      <c r="BU41" s="827"/>
      <c r="BV41" s="827"/>
      <c r="BW41" s="827"/>
      <c r="BX41" s="827"/>
      <c r="BY41" s="828"/>
    </row>
    <row r="42" spans="9:102" ht="12.75" customHeight="1">
      <c r="I42" s="451"/>
      <c r="J42" s="451"/>
      <c r="K42" s="451"/>
      <c r="AN42" s="808" t="s">
        <v>632</v>
      </c>
      <c r="AO42" s="809"/>
      <c r="AP42" s="809"/>
      <c r="AQ42" s="809"/>
      <c r="AR42" s="809"/>
      <c r="AS42" s="809"/>
      <c r="AT42" s="809"/>
      <c r="AU42" s="809"/>
      <c r="AV42" s="809"/>
      <c r="AW42" s="809"/>
      <c r="AX42" s="810"/>
      <c r="BO42" s="829"/>
      <c r="BP42" s="830"/>
      <c r="BQ42" s="830"/>
      <c r="BR42" s="830"/>
      <c r="BS42" s="830"/>
      <c r="BT42" s="830"/>
      <c r="BU42" s="830"/>
      <c r="BV42" s="830"/>
      <c r="BW42" s="830"/>
      <c r="BX42" s="830"/>
      <c r="BY42" s="831"/>
    </row>
    <row r="43" spans="9:102" ht="18">
      <c r="I43" s="451"/>
      <c r="J43" s="451"/>
      <c r="K43" s="451"/>
      <c r="AN43" s="811"/>
      <c r="AO43" s="812"/>
      <c r="AP43" s="812"/>
      <c r="AQ43" s="812"/>
      <c r="AR43" s="812"/>
      <c r="AS43" s="812"/>
      <c r="AT43" s="812"/>
      <c r="AU43" s="812"/>
      <c r="AV43" s="812"/>
      <c r="AW43" s="812"/>
      <c r="AX43" s="813"/>
      <c r="CN43" s="808"/>
      <c r="CO43" s="809"/>
      <c r="CP43" s="809"/>
      <c r="CQ43" s="809"/>
      <c r="CR43" s="809"/>
      <c r="CS43" s="809"/>
      <c r="CT43" s="809"/>
      <c r="CU43" s="809"/>
      <c r="CV43" s="809"/>
      <c r="CW43" s="809"/>
      <c r="CX43" s="810"/>
    </row>
    <row r="44" spans="9:102" ht="12.75" customHeight="1">
      <c r="I44" s="451"/>
      <c r="J44" s="451"/>
      <c r="K44" s="451"/>
      <c r="BO44" s="826" t="s">
        <v>827</v>
      </c>
      <c r="BP44" s="827"/>
      <c r="BQ44" s="827"/>
      <c r="BR44" s="827"/>
      <c r="BS44" s="827"/>
      <c r="BT44" s="827"/>
      <c r="BU44" s="827"/>
      <c r="BV44" s="827"/>
      <c r="BW44" s="827"/>
      <c r="BX44" s="827"/>
      <c r="BY44" s="828"/>
      <c r="CN44" s="811"/>
      <c r="CO44" s="812"/>
      <c r="CP44" s="812"/>
      <c r="CQ44" s="812"/>
      <c r="CR44" s="812"/>
      <c r="CS44" s="812"/>
      <c r="CT44" s="812"/>
      <c r="CU44" s="812"/>
      <c r="CV44" s="812"/>
      <c r="CW44" s="812"/>
      <c r="CX44" s="813"/>
    </row>
    <row r="45" spans="9:102" ht="13.5" customHeight="1">
      <c r="I45" s="451"/>
      <c r="J45" s="451"/>
      <c r="K45" s="451"/>
      <c r="AV45" s="447"/>
      <c r="AW45" s="447"/>
      <c r="AX45" s="444"/>
      <c r="BO45" s="829"/>
      <c r="BP45" s="830"/>
      <c r="BQ45" s="830"/>
      <c r="BR45" s="830"/>
      <c r="BS45" s="830"/>
      <c r="BT45" s="830"/>
      <c r="BU45" s="830"/>
      <c r="BV45" s="830"/>
      <c r="BW45" s="830"/>
      <c r="BX45" s="830"/>
      <c r="BY45" s="831"/>
    </row>
    <row r="46" spans="9:102" s="444" customFormat="1" ht="12.75" customHeight="1"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N46" s="808" t="s">
        <v>632</v>
      </c>
      <c r="AO46" s="809"/>
      <c r="AP46" s="809"/>
      <c r="AQ46" s="809"/>
      <c r="AR46" s="809"/>
      <c r="AS46" s="809"/>
      <c r="AT46" s="809"/>
      <c r="AU46" s="809"/>
      <c r="AV46" s="809"/>
      <c r="AW46" s="809"/>
      <c r="AX46" s="810"/>
    </row>
    <row r="47" spans="9:102" s="444" customFormat="1"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N47" s="811"/>
      <c r="AO47" s="812"/>
      <c r="AP47" s="812"/>
      <c r="AQ47" s="812"/>
      <c r="AR47" s="812"/>
      <c r="AS47" s="812"/>
      <c r="AT47" s="812"/>
      <c r="AU47" s="812"/>
      <c r="AV47" s="812"/>
      <c r="AW47" s="812"/>
      <c r="AX47" s="813"/>
      <c r="BO47" s="802" t="s">
        <v>827</v>
      </c>
      <c r="BP47" s="803"/>
      <c r="BQ47" s="803"/>
      <c r="BR47" s="803"/>
      <c r="BS47" s="803"/>
      <c r="BT47" s="803"/>
      <c r="BU47" s="803"/>
      <c r="BV47" s="803"/>
      <c r="BW47" s="803"/>
      <c r="BX47" s="803"/>
      <c r="BY47" s="804"/>
    </row>
    <row r="48" spans="9:102" s="444" customFormat="1">
      <c r="L48" s="439"/>
      <c r="M48" s="439"/>
      <c r="N48" s="439"/>
      <c r="O48" s="439"/>
      <c r="P48" s="439"/>
      <c r="Q48" s="439"/>
      <c r="R48" s="439"/>
      <c r="S48" s="439"/>
      <c r="T48" s="439"/>
      <c r="U48" s="439"/>
      <c r="V48" s="439"/>
      <c r="W48" s="439"/>
      <c r="X48" s="439"/>
      <c r="Y48" s="439"/>
      <c r="Z48" s="439"/>
      <c r="AN48" s="439"/>
      <c r="AO48" s="439"/>
      <c r="AP48" s="439"/>
      <c r="AQ48" s="439"/>
      <c r="AR48" s="439"/>
      <c r="AS48" s="439"/>
      <c r="AT48" s="439"/>
      <c r="AU48" s="439"/>
      <c r="AV48" s="439"/>
      <c r="AW48" s="439"/>
      <c r="AX48" s="439"/>
      <c r="BO48" s="805"/>
      <c r="BP48" s="806"/>
      <c r="BQ48" s="806"/>
      <c r="BR48" s="806"/>
      <c r="BS48" s="806"/>
      <c r="BT48" s="806"/>
      <c r="BU48" s="806"/>
      <c r="BV48" s="806"/>
      <c r="BW48" s="806"/>
      <c r="BX48" s="806"/>
      <c r="BY48" s="807"/>
    </row>
    <row r="49" spans="9:74" s="444" customFormat="1">
      <c r="L49" s="439"/>
      <c r="M49" s="439"/>
      <c r="N49" s="439"/>
      <c r="O49" s="439"/>
      <c r="P49" s="439"/>
      <c r="Q49" s="439"/>
      <c r="R49" s="439"/>
      <c r="S49" s="439"/>
      <c r="T49" s="439"/>
      <c r="U49" s="439"/>
      <c r="V49" s="439"/>
      <c r="W49" s="439"/>
      <c r="X49" s="439"/>
      <c r="Y49" s="439"/>
      <c r="Z49" s="439"/>
      <c r="AN49" s="439"/>
      <c r="AO49" s="439"/>
      <c r="AP49" s="439"/>
      <c r="AQ49" s="439"/>
      <c r="AR49" s="450"/>
      <c r="AS49" s="450"/>
      <c r="AT49" s="450"/>
      <c r="AU49" s="450"/>
      <c r="AV49" s="439"/>
      <c r="AW49" s="439"/>
      <c r="AX49" s="439"/>
    </row>
    <row r="50" spans="9:74" s="444" customFormat="1"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N50" s="808" t="s">
        <v>632</v>
      </c>
      <c r="AO50" s="809"/>
      <c r="AP50" s="809"/>
      <c r="AQ50" s="809"/>
      <c r="AR50" s="809"/>
      <c r="AS50" s="809"/>
      <c r="AT50" s="809"/>
      <c r="AU50" s="809"/>
      <c r="AV50" s="809"/>
      <c r="AW50" s="809"/>
      <c r="AX50" s="810"/>
    </row>
    <row r="51" spans="9:74" s="444" customFormat="1"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439"/>
      <c r="AN51" s="811"/>
      <c r="AO51" s="812"/>
      <c r="AP51" s="812"/>
      <c r="AQ51" s="812"/>
      <c r="AR51" s="812"/>
      <c r="AS51" s="812"/>
      <c r="AT51" s="812"/>
      <c r="AU51" s="812"/>
      <c r="AV51" s="812"/>
      <c r="AW51" s="812"/>
      <c r="AX51" s="813"/>
      <c r="BI51" s="802" t="s">
        <v>636</v>
      </c>
      <c r="BJ51" s="803"/>
      <c r="BK51" s="803"/>
      <c r="BL51" s="803"/>
      <c r="BM51" s="803"/>
      <c r="BN51" s="803"/>
      <c r="BO51" s="803"/>
      <c r="BP51" s="803"/>
      <c r="BQ51" s="803"/>
      <c r="BR51" s="803"/>
      <c r="BS51" s="804"/>
    </row>
    <row r="52" spans="9:74" s="444" customFormat="1">
      <c r="L52" s="439"/>
      <c r="M52" s="439"/>
      <c r="N52" s="439"/>
      <c r="O52" s="439"/>
      <c r="P52" s="439"/>
      <c r="Q52" s="439"/>
      <c r="R52" s="439"/>
      <c r="S52" s="439"/>
      <c r="T52" s="439"/>
      <c r="U52" s="439"/>
      <c r="V52" s="439"/>
      <c r="W52" s="439"/>
      <c r="X52" s="439"/>
      <c r="Y52" s="439"/>
      <c r="Z52" s="439"/>
      <c r="BI52" s="805"/>
      <c r="BJ52" s="806"/>
      <c r="BK52" s="806"/>
      <c r="BL52" s="806"/>
      <c r="BM52" s="806"/>
      <c r="BN52" s="806"/>
      <c r="BO52" s="806"/>
      <c r="BP52" s="806"/>
      <c r="BQ52" s="806"/>
      <c r="BR52" s="806"/>
      <c r="BS52" s="807"/>
    </row>
    <row r="53" spans="9:74" s="444" customFormat="1" ht="18">
      <c r="L53" s="439"/>
      <c r="M53" s="439"/>
      <c r="N53" s="439"/>
      <c r="O53" s="439"/>
      <c r="P53" s="439"/>
      <c r="Q53" s="439"/>
      <c r="R53" s="439"/>
      <c r="S53" s="439"/>
      <c r="T53" s="452"/>
      <c r="U53" s="452"/>
      <c r="V53" s="452"/>
      <c r="W53" s="439"/>
      <c r="X53" s="439"/>
      <c r="Y53" s="439"/>
      <c r="Z53" s="439"/>
    </row>
    <row r="54" spans="9:74" ht="12.75" customHeight="1">
      <c r="I54" s="444"/>
      <c r="J54" s="444"/>
      <c r="K54" s="444"/>
      <c r="T54" s="452"/>
      <c r="U54" s="452"/>
      <c r="V54" s="452"/>
      <c r="AK54" s="814" t="s">
        <v>637</v>
      </c>
      <c r="AL54" s="815"/>
      <c r="AM54" s="815"/>
      <c r="AN54" s="815"/>
      <c r="AO54" s="815"/>
      <c r="AP54" s="815"/>
      <c r="AQ54" s="815"/>
      <c r="AR54" s="815"/>
      <c r="AS54" s="815"/>
      <c r="AT54" s="815"/>
      <c r="AU54" s="816"/>
    </row>
    <row r="55" spans="9:74" ht="18">
      <c r="I55" s="444"/>
      <c r="J55" s="444"/>
      <c r="K55" s="444"/>
      <c r="T55" s="452"/>
      <c r="U55" s="452"/>
      <c r="V55" s="452"/>
      <c r="AK55" s="817"/>
      <c r="AL55" s="818"/>
      <c r="AM55" s="818"/>
      <c r="AN55" s="818"/>
      <c r="AO55" s="818"/>
      <c r="AP55" s="818"/>
      <c r="AQ55" s="818"/>
      <c r="AR55" s="818"/>
      <c r="AS55" s="818"/>
      <c r="AT55" s="818"/>
      <c r="AU55" s="819"/>
      <c r="BL55" s="802" t="s">
        <v>638</v>
      </c>
      <c r="BM55" s="803"/>
      <c r="BN55" s="803"/>
      <c r="BO55" s="803"/>
      <c r="BP55" s="803"/>
      <c r="BQ55" s="803"/>
      <c r="BR55" s="803"/>
      <c r="BS55" s="803"/>
      <c r="BT55" s="803"/>
      <c r="BU55" s="803"/>
      <c r="BV55" s="804"/>
    </row>
    <row r="56" spans="9:74" ht="18">
      <c r="I56" s="444"/>
      <c r="J56" s="444"/>
      <c r="K56" s="444"/>
      <c r="T56" s="452"/>
      <c r="U56" s="452"/>
      <c r="V56" s="452"/>
      <c r="BL56" s="805"/>
      <c r="BM56" s="806"/>
      <c r="BN56" s="806"/>
      <c r="BO56" s="806"/>
      <c r="BP56" s="806"/>
      <c r="BQ56" s="806"/>
      <c r="BR56" s="806"/>
      <c r="BS56" s="806"/>
      <c r="BT56" s="806"/>
      <c r="BU56" s="806"/>
      <c r="BV56" s="807"/>
    </row>
    <row r="57" spans="9:74" s="444" customFormat="1" ht="18">
      <c r="L57" s="439"/>
      <c r="M57" s="439"/>
      <c r="N57" s="439"/>
      <c r="O57" s="439"/>
      <c r="P57" s="439"/>
      <c r="Q57" s="439"/>
      <c r="R57" s="439"/>
      <c r="S57" s="439"/>
      <c r="T57" s="452"/>
      <c r="U57" s="452"/>
      <c r="V57" s="452"/>
      <c r="W57" s="439"/>
      <c r="X57" s="439"/>
      <c r="Y57" s="439"/>
      <c r="Z57" s="439"/>
    </row>
    <row r="58" spans="9:74" s="444" customFormat="1" ht="18">
      <c r="L58" s="439"/>
      <c r="M58" s="439"/>
      <c r="N58" s="439"/>
      <c r="O58" s="439"/>
      <c r="P58" s="439"/>
      <c r="Q58" s="439"/>
      <c r="R58" s="439"/>
      <c r="S58" s="439"/>
      <c r="T58" s="452"/>
      <c r="U58" s="452"/>
      <c r="V58" s="452"/>
      <c r="W58" s="439"/>
      <c r="X58" s="439"/>
      <c r="Y58" s="439"/>
      <c r="Z58" s="439"/>
    </row>
    <row r="59" spans="9:74" s="452" customFormat="1" ht="18">
      <c r="I59" s="444"/>
      <c r="J59" s="444"/>
      <c r="K59" s="444"/>
      <c r="L59" s="439"/>
      <c r="M59" s="439"/>
      <c r="N59" s="439"/>
      <c r="O59" s="439"/>
      <c r="P59" s="439"/>
      <c r="Q59" s="439"/>
      <c r="R59" s="439"/>
      <c r="S59" s="439"/>
      <c r="BL59" s="802" t="s">
        <v>638</v>
      </c>
      <c r="BM59" s="803"/>
      <c r="BN59" s="803"/>
      <c r="BO59" s="803"/>
      <c r="BP59" s="803"/>
      <c r="BQ59" s="803"/>
      <c r="BR59" s="803"/>
      <c r="BS59" s="803"/>
      <c r="BT59" s="803"/>
      <c r="BU59" s="803"/>
      <c r="BV59" s="804"/>
    </row>
    <row r="60" spans="9:74" s="452" customFormat="1" ht="12.75" customHeight="1">
      <c r="I60" s="444"/>
      <c r="J60" s="444"/>
      <c r="K60" s="444"/>
      <c r="L60" s="439"/>
      <c r="M60" s="439"/>
      <c r="N60" s="439"/>
      <c r="O60" s="439"/>
      <c r="P60" s="439"/>
      <c r="Q60" s="439"/>
      <c r="R60" s="439"/>
      <c r="S60" s="439"/>
      <c r="BL60" s="805"/>
      <c r="BM60" s="806"/>
      <c r="BN60" s="806"/>
      <c r="BO60" s="806"/>
      <c r="BP60" s="806"/>
      <c r="BQ60" s="806"/>
      <c r="BR60" s="806"/>
      <c r="BS60" s="806"/>
      <c r="BT60" s="806"/>
      <c r="BU60" s="806"/>
      <c r="BV60" s="807"/>
    </row>
    <row r="61" spans="9:74" s="452" customFormat="1" ht="18">
      <c r="I61" s="439"/>
      <c r="J61" s="439"/>
      <c r="K61" s="439"/>
      <c r="L61" s="439"/>
      <c r="M61" s="439"/>
      <c r="N61" s="439"/>
      <c r="O61" s="439"/>
      <c r="P61" s="439"/>
      <c r="Q61" s="439"/>
      <c r="R61" s="439"/>
      <c r="S61" s="439"/>
    </row>
    <row r="62" spans="9:74" s="452" customFormat="1" ht="18"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</row>
    <row r="63" spans="9:74" s="452" customFormat="1" ht="13.5" customHeight="1">
      <c r="I63" s="444"/>
      <c r="J63" s="444"/>
      <c r="K63" s="444"/>
      <c r="L63" s="439"/>
      <c r="M63" s="439"/>
      <c r="N63" s="439"/>
      <c r="O63" s="439"/>
      <c r="P63" s="439"/>
      <c r="Q63" s="439"/>
      <c r="R63" s="439"/>
      <c r="S63" s="439"/>
      <c r="T63" s="439"/>
      <c r="U63" s="439"/>
      <c r="V63" s="439"/>
      <c r="BI63" s="802" t="s">
        <v>639</v>
      </c>
      <c r="BJ63" s="803"/>
      <c r="BK63" s="803"/>
      <c r="BL63" s="803"/>
      <c r="BM63" s="803"/>
      <c r="BN63" s="803"/>
      <c r="BO63" s="803"/>
      <c r="BP63" s="803"/>
      <c r="BQ63" s="803"/>
      <c r="BR63" s="803"/>
      <c r="BS63" s="804"/>
    </row>
    <row r="64" spans="9:74" s="452" customFormat="1" ht="13.5" customHeight="1">
      <c r="I64" s="444"/>
      <c r="J64" s="444"/>
      <c r="K64" s="444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BI64" s="805"/>
      <c r="BJ64" s="806"/>
      <c r="BK64" s="806"/>
      <c r="BL64" s="806"/>
      <c r="BM64" s="806"/>
      <c r="BN64" s="806"/>
      <c r="BO64" s="806"/>
      <c r="BP64" s="806"/>
      <c r="BQ64" s="806"/>
      <c r="BR64" s="806"/>
      <c r="BS64" s="807"/>
    </row>
    <row r="65" spans="9:61" s="452" customFormat="1" ht="18">
      <c r="I65" s="444"/>
      <c r="J65" s="444"/>
      <c r="K65" s="444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BI65" s="451"/>
    </row>
    <row r="66" spans="9:61" s="452" customFormat="1" ht="18">
      <c r="I66" s="449"/>
      <c r="J66" s="449"/>
      <c r="K66" s="449"/>
      <c r="L66" s="439"/>
      <c r="M66" s="439"/>
      <c r="N66" s="439"/>
      <c r="O66" s="439"/>
      <c r="P66" s="439"/>
      <c r="Q66" s="439"/>
      <c r="R66" s="439"/>
      <c r="S66" s="439"/>
      <c r="T66" s="439"/>
      <c r="U66" s="439"/>
      <c r="V66" s="439"/>
      <c r="BI66" s="451"/>
    </row>
    <row r="67" spans="9:61" s="452" customFormat="1" ht="18">
      <c r="I67" s="449"/>
      <c r="J67" s="449"/>
      <c r="K67" s="449"/>
      <c r="L67" s="439"/>
      <c r="M67" s="439"/>
      <c r="N67" s="439"/>
      <c r="O67" s="439"/>
      <c r="P67" s="439"/>
      <c r="Q67" s="439"/>
      <c r="R67" s="439"/>
      <c r="S67" s="439"/>
      <c r="T67" s="439"/>
      <c r="U67" s="439"/>
      <c r="V67" s="439"/>
      <c r="BI67" s="451"/>
    </row>
    <row r="68" spans="9:61">
      <c r="I68" s="444"/>
      <c r="J68" s="444"/>
      <c r="K68" s="444"/>
      <c r="BI68" s="444"/>
    </row>
    <row r="69" spans="9:61">
      <c r="I69" s="449"/>
      <c r="J69" s="449"/>
      <c r="K69" s="449"/>
      <c r="BI69" s="444"/>
    </row>
    <row r="70" spans="9:61">
      <c r="I70" s="449"/>
      <c r="J70" s="449"/>
      <c r="K70" s="449"/>
      <c r="BI70" s="444"/>
    </row>
    <row r="71" spans="9:61">
      <c r="I71" s="444"/>
      <c r="J71" s="444"/>
      <c r="K71" s="444"/>
      <c r="BI71" s="444"/>
    </row>
    <row r="72" spans="9:61">
      <c r="I72" s="449"/>
      <c r="J72" s="449"/>
      <c r="K72" s="449"/>
      <c r="BI72" s="444"/>
    </row>
    <row r="73" spans="9:61">
      <c r="I73" s="449"/>
      <c r="J73" s="449"/>
      <c r="K73" s="449"/>
      <c r="BI73" s="444"/>
    </row>
    <row r="74" spans="9:61">
      <c r="BI74" s="444"/>
    </row>
    <row r="75" spans="9:61">
      <c r="BI75" s="444"/>
    </row>
    <row r="76" spans="9:61">
      <c r="BI76" s="444"/>
    </row>
    <row r="77" spans="9:61">
      <c r="BI77" s="444"/>
    </row>
    <row r="78" spans="9:61">
      <c r="BI78" s="444"/>
    </row>
    <row r="79" spans="9:61">
      <c r="BI79" s="444"/>
    </row>
    <row r="80" spans="9:61">
      <c r="BI80" s="444"/>
    </row>
    <row r="81" spans="61:79">
      <c r="BI81" s="444"/>
    </row>
    <row r="82" spans="61:79">
      <c r="BI82" s="444"/>
    </row>
    <row r="83" spans="61:79" ht="12.75" customHeight="1">
      <c r="CA83" s="444"/>
    </row>
    <row r="84" spans="61:79">
      <c r="CA84" s="444"/>
    </row>
    <row r="85" spans="61:79">
      <c r="BI85" s="444"/>
    </row>
    <row r="86" spans="61:79">
      <c r="BI86" s="444"/>
    </row>
    <row r="87" spans="61:79">
      <c r="BI87" s="444"/>
    </row>
    <row r="88" spans="61:79">
      <c r="BI88" s="444"/>
    </row>
  </sheetData>
  <mergeCells count="40">
    <mergeCell ref="L20:P20"/>
    <mergeCell ref="BI20:BM20"/>
    <mergeCell ref="I22:S23"/>
    <mergeCell ref="AH22:AR23"/>
    <mergeCell ref="BB2:CQ5"/>
    <mergeCell ref="R6:AW8"/>
    <mergeCell ref="AM10:AY13"/>
    <mergeCell ref="Q15:R16"/>
    <mergeCell ref="F16:O18"/>
    <mergeCell ref="AB16:AK18"/>
    <mergeCell ref="BC16:BO18"/>
    <mergeCell ref="CE16:CI18"/>
    <mergeCell ref="BV16:CA18"/>
    <mergeCell ref="BF22:BP23"/>
    <mergeCell ref="L30:V31"/>
    <mergeCell ref="AN30:AX31"/>
    <mergeCell ref="BL30:BV31"/>
    <mergeCell ref="CN30:CX31"/>
    <mergeCell ref="L26:V27"/>
    <mergeCell ref="AK26:AU27"/>
    <mergeCell ref="BI26:BS27"/>
    <mergeCell ref="L34:V35"/>
    <mergeCell ref="AN34:AX35"/>
    <mergeCell ref="BL34:BV35"/>
    <mergeCell ref="L38:V39"/>
    <mergeCell ref="AN38:AX39"/>
    <mergeCell ref="BL38:BV39"/>
    <mergeCell ref="CN39:CX40"/>
    <mergeCell ref="BO41:BY42"/>
    <mergeCell ref="AN42:AX43"/>
    <mergeCell ref="CN43:CX44"/>
    <mergeCell ref="BO44:BY45"/>
    <mergeCell ref="BL59:BV60"/>
    <mergeCell ref="BI63:BS64"/>
    <mergeCell ref="AN46:AX47"/>
    <mergeCell ref="BO47:BY48"/>
    <mergeCell ref="AN50:AX51"/>
    <mergeCell ref="BI51:BS52"/>
    <mergeCell ref="AK54:AU55"/>
    <mergeCell ref="BL55:BV56"/>
  </mergeCells>
  <pageMargins left="0.15748031496062992" right="0.19685039370078741" top="0.23622047244094491" bottom="0.15748031496062992" header="0.23622047244094491" footer="0.15748031496062992"/>
  <pageSetup paperSize="9" scale="6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zoomScale="70" zoomScaleNormal="70" workbookViewId="0">
      <selection activeCell="C22" sqref="C22"/>
    </sheetView>
  </sheetViews>
  <sheetFormatPr defaultRowHeight="12.75"/>
  <cols>
    <col min="1" max="1" width="4.7109375" style="459" customWidth="1"/>
    <col min="2" max="2" width="55" style="459" customWidth="1"/>
    <col min="3" max="3" width="21.5703125" style="641" bestFit="1" customWidth="1"/>
    <col min="4" max="4" width="18.42578125" style="459" customWidth="1"/>
    <col min="5" max="5" width="15.5703125" style="459" customWidth="1"/>
    <col min="6" max="6" width="21.5703125" style="459" bestFit="1" customWidth="1"/>
    <col min="7" max="7" width="14.140625" style="459" bestFit="1" customWidth="1"/>
    <col min="8" max="8" width="11.5703125" style="459" customWidth="1"/>
    <col min="9" max="9" width="9.28515625" style="459" bestFit="1" customWidth="1"/>
    <col min="10" max="16384" width="9.140625" style="459"/>
  </cols>
  <sheetData>
    <row r="2" spans="1:10" s="455" customFormat="1" ht="18">
      <c r="B2" s="455" t="s">
        <v>642</v>
      </c>
      <c r="C2" s="456"/>
    </row>
    <row r="5" spans="1:10" ht="15">
      <c r="A5" s="457"/>
      <c r="B5" s="457" t="s">
        <v>643</v>
      </c>
      <c r="C5" s="457"/>
      <c r="D5" s="458"/>
      <c r="E5" s="457"/>
      <c r="F5" s="457"/>
      <c r="G5" s="457"/>
      <c r="H5" s="457"/>
      <c r="I5" s="457"/>
    </row>
    <row r="6" spans="1:10">
      <c r="B6" s="460" t="s">
        <v>644</v>
      </c>
      <c r="C6" s="461" t="s">
        <v>609</v>
      </c>
      <c r="D6" s="462" t="s">
        <v>645</v>
      </c>
    </row>
    <row r="7" spans="1:10">
      <c r="B7" s="463" t="s">
        <v>646</v>
      </c>
      <c r="C7" s="464"/>
      <c r="D7" s="465" t="s">
        <v>647</v>
      </c>
      <c r="E7" s="466"/>
    </row>
    <row r="8" spans="1:10" ht="15.75">
      <c r="B8" s="467">
        <f>'[9]I balans'!D5/1000</f>
        <v>64536.057527999998</v>
      </c>
      <c r="C8" s="468"/>
      <c r="D8" s="469">
        <f>'[9]I balans'!D16/1000</f>
        <v>32676.132503999997</v>
      </c>
      <c r="E8" s="470" t="s">
        <v>609</v>
      </c>
      <c r="F8" s="471"/>
    </row>
    <row r="9" spans="1:10">
      <c r="B9" s="472"/>
      <c r="C9" s="473"/>
      <c r="D9" s="465" t="s">
        <v>648</v>
      </c>
      <c r="E9" s="466"/>
      <c r="F9" s="474"/>
    </row>
    <row r="10" spans="1:10" ht="15.75">
      <c r="B10" s="463" t="s">
        <v>649</v>
      </c>
      <c r="C10" s="464"/>
      <c r="D10" s="475">
        <f>'[9]I balans'!D22/1000</f>
        <v>11364</v>
      </c>
      <c r="E10" s="476"/>
      <c r="F10" s="474"/>
    </row>
    <row r="11" spans="1:10">
      <c r="B11" s="477"/>
      <c r="C11" s="468"/>
      <c r="D11" s="478" t="s">
        <v>650</v>
      </c>
      <c r="E11" s="479">
        <v>0.22</v>
      </c>
    </row>
    <row r="12" spans="1:10" ht="15.75">
      <c r="B12" s="480">
        <f>('[9]I balans'!D10+'[9]I balans'!D11+'[9]I balans'!D12)/1000</f>
        <v>85478.108952000024</v>
      </c>
      <c r="C12" s="468"/>
      <c r="D12" s="465" t="s">
        <v>651</v>
      </c>
      <c r="E12" s="466" t="s">
        <v>652</v>
      </c>
    </row>
    <row r="13" spans="1:10" ht="15.75">
      <c r="B13" s="477"/>
      <c r="C13" s="468"/>
      <c r="D13" s="481">
        <f>B12+B8-D8-D10</f>
        <v>105974.03397600002</v>
      </c>
      <c r="E13" s="476"/>
      <c r="F13" s="471"/>
    </row>
    <row r="14" spans="1:10" ht="15.75">
      <c r="B14" s="472"/>
      <c r="C14" s="473"/>
      <c r="D14" s="478" t="s">
        <v>650</v>
      </c>
      <c r="E14" s="482">
        <v>0.38</v>
      </c>
    </row>
    <row r="15" spans="1:10" s="483" customFormat="1">
      <c r="B15" s="484"/>
      <c r="C15" s="484"/>
      <c r="D15" s="485"/>
      <c r="E15" s="486"/>
    </row>
    <row r="16" spans="1:10" s="487" customFormat="1" ht="18">
      <c r="B16" s="488" t="s">
        <v>653</v>
      </c>
      <c r="C16" s="488"/>
      <c r="D16" s="489"/>
      <c r="E16" s="490"/>
      <c r="F16" s="491">
        <f>[9]БДР!F55/1000</f>
        <v>101940</v>
      </c>
      <c r="G16" s="487" t="s">
        <v>654</v>
      </c>
      <c r="I16" s="492">
        <v>0.8</v>
      </c>
      <c r="J16" s="487" t="s">
        <v>655</v>
      </c>
    </row>
    <row r="17" spans="2:10" s="487" customFormat="1" ht="18">
      <c r="B17" s="493" t="s">
        <v>656</v>
      </c>
      <c r="C17" s="494">
        <f>'[9]I p&amp;l '!C4/1000</f>
        <v>425785.64407500008</v>
      </c>
      <c r="D17" s="493" t="s">
        <v>657</v>
      </c>
      <c r="E17" s="490"/>
    </row>
    <row r="18" spans="2:10" s="499" customFormat="1" ht="18">
      <c r="B18" s="495" t="s">
        <v>658</v>
      </c>
      <c r="C18" s="496"/>
      <c r="D18" s="497"/>
      <c r="E18" s="497"/>
      <c r="F18" s="498">
        <f>300000000/1000</f>
        <v>300000</v>
      </c>
      <c r="G18" s="497" t="s">
        <v>657</v>
      </c>
    </row>
    <row r="19" spans="2:10" s="504" customFormat="1" ht="15">
      <c r="B19" s="500" t="s">
        <v>659</v>
      </c>
      <c r="C19" s="501"/>
      <c r="D19" s="502"/>
      <c r="E19" s="503"/>
    </row>
    <row r="20" spans="2:10" ht="15.75">
      <c r="B20" s="505"/>
      <c r="C20" s="506"/>
      <c r="D20" s="507"/>
      <c r="E20" s="507"/>
      <c r="F20" s="508"/>
      <c r="G20" s="509"/>
    </row>
    <row r="21" spans="2:10" ht="15.75">
      <c r="B21" s="510" t="s">
        <v>660</v>
      </c>
      <c r="C21" s="506"/>
      <c r="D21" s="507"/>
      <c r="E21" s="507"/>
      <c r="F21" s="508"/>
      <c r="G21" s="509"/>
    </row>
    <row r="22" spans="2:10" ht="15">
      <c r="B22" s="511" t="s">
        <v>661</v>
      </c>
      <c r="C22" s="512">
        <v>0.25146084032275323</v>
      </c>
      <c r="D22" s="513" t="s">
        <v>662</v>
      </c>
      <c r="E22" s="514">
        <f>SUM(E23:E24)</f>
        <v>117338.03397600002</v>
      </c>
      <c r="F22" s="515">
        <f>SUM(F23:F24)</f>
        <v>219278.03397600004</v>
      </c>
      <c r="G22" s="507"/>
      <c r="H22" s="516"/>
    </row>
    <row r="23" spans="2:10" ht="15.75">
      <c r="B23" s="517" t="s">
        <v>663</v>
      </c>
      <c r="C23" s="518">
        <v>0.13200000000000001</v>
      </c>
      <c r="D23" s="519" t="s">
        <v>664</v>
      </c>
      <c r="E23" s="520">
        <f>D10</f>
        <v>11364</v>
      </c>
      <c r="F23" s="515">
        <f>E23+F16*I16</f>
        <v>92916</v>
      </c>
      <c r="G23" s="521">
        <f>F23/F22</f>
        <v>0.42373601365912306</v>
      </c>
      <c r="J23" s="522"/>
    </row>
    <row r="24" spans="2:10" ht="15.75">
      <c r="B24" s="509"/>
      <c r="C24" s="928" t="s">
        <v>665</v>
      </c>
      <c r="D24" s="929"/>
      <c r="E24" s="520">
        <f>D13</f>
        <v>105974.03397600002</v>
      </c>
      <c r="F24" s="515">
        <f>E24+F16*(1-I16)</f>
        <v>126362.03397600002</v>
      </c>
      <c r="G24" s="523">
        <f>F24/F22</f>
        <v>0.57626398634087683</v>
      </c>
      <c r="H24" s="524"/>
    </row>
    <row r="25" spans="2:10" ht="15">
      <c r="B25" s="525"/>
      <c r="C25" s="525"/>
      <c r="D25" s="525"/>
      <c r="E25" s="526" t="s">
        <v>666</v>
      </c>
      <c r="F25" s="527" t="s">
        <v>667</v>
      </c>
      <c r="G25" s="528"/>
    </row>
    <row r="26" spans="2:10" ht="15">
      <c r="B26" s="457"/>
      <c r="C26" s="457"/>
      <c r="D26" s="457"/>
      <c r="E26" s="529" t="s">
        <v>668</v>
      </c>
      <c r="F26" s="529" t="s">
        <v>669</v>
      </c>
    </row>
    <row r="27" spans="2:10" ht="15">
      <c r="B27" s="530" t="s">
        <v>670</v>
      </c>
      <c r="C27" s="531"/>
      <c r="D27" s="531"/>
      <c r="E27" s="532">
        <f>C17</f>
        <v>425785.64407500008</v>
      </c>
      <c r="F27" s="532">
        <f>E27+F18</f>
        <v>725785.64407500008</v>
      </c>
      <c r="G27" s="521">
        <f>F27/E27</f>
        <v>1.7045798846782079</v>
      </c>
      <c r="H27" s="459" t="s">
        <v>671</v>
      </c>
    </row>
    <row r="28" spans="2:10" ht="15">
      <c r="B28" s="530" t="s">
        <v>672</v>
      </c>
      <c r="C28" s="531"/>
      <c r="D28" s="531"/>
      <c r="E28" s="532">
        <f>('[9]I p&amp;l '!C11-'[9]I p&amp;l '!C13)/1000</f>
        <v>56244.421725000066</v>
      </c>
      <c r="F28" s="532">
        <f>F27*C23</f>
        <v>95803.705017900022</v>
      </c>
    </row>
    <row r="29" spans="2:10" ht="15">
      <c r="B29" s="530" t="s">
        <v>673</v>
      </c>
      <c r="C29" s="531"/>
      <c r="D29" s="533"/>
      <c r="E29" s="532">
        <f>'[9]I p&amp;l '!C14/1000</f>
        <v>4130.5176149999988</v>
      </c>
      <c r="F29" s="532">
        <f>F23*E11</f>
        <v>20441.52</v>
      </c>
    </row>
    <row r="30" spans="2:10" ht="15">
      <c r="B30" s="530" t="s">
        <v>674</v>
      </c>
      <c r="C30" s="531"/>
      <c r="D30" s="533"/>
      <c r="E30" s="534">
        <f>(E28-E29)*(1-$C$22)+('[9]I p&amp;l '!C17-'[9]I p&amp;l '!C16)/1000</f>
        <v>39743.484300000076</v>
      </c>
      <c r="F30" s="534">
        <f>(F28-F29)*(1-$C$22)</f>
        <v>56411.546644740083</v>
      </c>
      <c r="G30" s="521">
        <f>F30/F31</f>
        <v>0.44642797262549877</v>
      </c>
      <c r="H30" s="459" t="s">
        <v>675</v>
      </c>
    </row>
    <row r="31" spans="2:10" ht="15">
      <c r="B31" s="530" t="s">
        <v>676</v>
      </c>
      <c r="C31" s="531"/>
      <c r="D31" s="533"/>
      <c r="E31" s="534">
        <f>D13</f>
        <v>105974.03397600002</v>
      </c>
      <c r="F31" s="534">
        <f>F24</f>
        <v>126362.03397600002</v>
      </c>
    </row>
    <row r="32" spans="2:10" ht="15">
      <c r="B32" s="530" t="s">
        <v>677</v>
      </c>
      <c r="C32" s="531"/>
      <c r="D32" s="533"/>
      <c r="E32" s="534">
        <f>E24*43%</f>
        <v>45568.834609680009</v>
      </c>
      <c r="F32" s="534">
        <f>F31*E14</f>
        <v>48017.572910880008</v>
      </c>
    </row>
    <row r="33" spans="1:8" ht="18">
      <c r="B33" s="535" t="s">
        <v>678</v>
      </c>
      <c r="C33" s="536"/>
      <c r="D33" s="537"/>
      <c r="E33" s="538">
        <f>E30-E32</f>
        <v>-5825.3503096799323</v>
      </c>
      <c r="F33" s="538">
        <f>F30-F32</f>
        <v>8393.9737338600753</v>
      </c>
    </row>
    <row r="34" spans="1:8">
      <c r="C34" s="459"/>
    </row>
    <row r="35" spans="1:8" s="539" customFormat="1" ht="15">
      <c r="B35" s="540" t="s">
        <v>679</v>
      </c>
      <c r="C35" s="539" t="s">
        <v>680</v>
      </c>
    </row>
    <row r="36" spans="1:8" s="539" customFormat="1" ht="15">
      <c r="C36" s="539" t="s">
        <v>681</v>
      </c>
    </row>
    <row r="37" spans="1:8" s="539" customFormat="1" ht="15">
      <c r="C37" s="539" t="s">
        <v>682</v>
      </c>
    </row>
    <row r="38" spans="1:8" s="539" customFormat="1" ht="15"/>
    <row r="39" spans="1:8" s="539" customFormat="1" ht="15"/>
    <row r="40" spans="1:8" s="539" customFormat="1" ht="15">
      <c r="B40" s="541" t="s">
        <v>683</v>
      </c>
    </row>
    <row r="41" spans="1:8" s="539" customFormat="1" ht="15">
      <c r="B41" s="541" t="s">
        <v>684</v>
      </c>
    </row>
    <row r="42" spans="1:8" s="539" customFormat="1" ht="15">
      <c r="B42" s="541"/>
    </row>
    <row r="43" spans="1:8" s="539" customFormat="1" ht="15">
      <c r="B43" s="539" t="s">
        <v>685</v>
      </c>
      <c r="C43" s="542"/>
    </row>
    <row r="44" spans="1:8" s="539" customFormat="1" ht="20.25">
      <c r="A44" s="543"/>
      <c r="B44" s="544" t="s">
        <v>686</v>
      </c>
      <c r="C44" s="545" t="s">
        <v>687</v>
      </c>
      <c r="D44" s="546" t="s">
        <v>688</v>
      </c>
      <c r="E44" s="543"/>
      <c r="F44" s="543"/>
      <c r="G44" s="543"/>
      <c r="H44" s="543"/>
    </row>
    <row r="45" spans="1:8" ht="20.25">
      <c r="A45" s="543"/>
      <c r="B45" s="547" t="s">
        <v>649</v>
      </c>
      <c r="C45" s="548">
        <v>0.57999999999999996</v>
      </c>
      <c r="D45" s="549">
        <f>C45*$F$16</f>
        <v>59125.2</v>
      </c>
      <c r="E45" s="543"/>
      <c r="F45" s="543"/>
      <c r="G45" s="543"/>
      <c r="H45" s="543"/>
    </row>
    <row r="46" spans="1:8" ht="20.25">
      <c r="A46" s="543"/>
      <c r="B46" s="547" t="s">
        <v>646</v>
      </c>
      <c r="C46" s="550">
        <v>0.42</v>
      </c>
      <c r="D46" s="549">
        <f>C46*$F$16</f>
        <v>42814.799999999996</v>
      </c>
      <c r="E46" s="543"/>
      <c r="F46" s="543"/>
      <c r="G46" s="543"/>
      <c r="H46" s="543"/>
    </row>
    <row r="47" spans="1:8" ht="20.25">
      <c r="A47" s="543"/>
      <c r="B47" s="551" t="s">
        <v>689</v>
      </c>
      <c r="C47" s="552">
        <v>1</v>
      </c>
      <c r="D47" s="553">
        <f>C47*$F$16</f>
        <v>101940</v>
      </c>
      <c r="E47" s="543"/>
      <c r="F47" s="543"/>
      <c r="G47" s="543"/>
      <c r="H47" s="543"/>
    </row>
    <row r="48" spans="1:8" ht="20.25">
      <c r="A48" s="543"/>
      <c r="B48" s="554" t="s">
        <v>690</v>
      </c>
      <c r="C48" s="555">
        <f>D45*20%</f>
        <v>11825.04</v>
      </c>
      <c r="D48" s="543"/>
      <c r="E48" s="543"/>
      <c r="F48" s="543"/>
      <c r="G48" s="543"/>
      <c r="H48" s="543"/>
    </row>
    <row r="49" spans="1:8" ht="20.25">
      <c r="A49" s="543"/>
      <c r="B49" s="556" t="s">
        <v>691</v>
      </c>
      <c r="C49" s="543"/>
      <c r="D49" s="543"/>
      <c r="E49" s="543"/>
      <c r="F49" s="543"/>
      <c r="G49" s="543"/>
      <c r="H49" s="543"/>
    </row>
    <row r="50" spans="1:8" ht="21" thickBot="1">
      <c r="A50" s="543"/>
      <c r="B50" s="557" t="s">
        <v>692</v>
      </c>
      <c r="C50" s="545" t="s">
        <v>688</v>
      </c>
      <c r="D50" s="545" t="s">
        <v>693</v>
      </c>
      <c r="E50" s="543"/>
      <c r="F50" s="543"/>
      <c r="G50" s="543"/>
      <c r="H50" s="543"/>
    </row>
    <row r="51" spans="1:8" ht="21" thickBot="1">
      <c r="A51" s="543"/>
      <c r="B51" s="547" t="s">
        <v>694</v>
      </c>
      <c r="C51" s="558">
        <f>D47*(1-I16)</f>
        <v>20387.999999999996</v>
      </c>
      <c r="D51" s="559">
        <f>E14</f>
        <v>0.38</v>
      </c>
      <c r="E51" s="543"/>
      <c r="F51" s="543"/>
      <c r="G51" s="543"/>
      <c r="H51" s="543"/>
    </row>
    <row r="52" spans="1:8" ht="21" thickBot="1">
      <c r="A52" s="543"/>
      <c r="B52" s="547" t="s">
        <v>695</v>
      </c>
      <c r="C52" s="560">
        <f>D47*I16</f>
        <v>81552</v>
      </c>
      <c r="D52" s="561">
        <f>E11</f>
        <v>0.22</v>
      </c>
      <c r="E52" s="543"/>
      <c r="F52" s="543"/>
      <c r="G52" s="543"/>
      <c r="H52" s="543"/>
    </row>
    <row r="53" spans="1:8" ht="20.25">
      <c r="A53" s="543"/>
      <c r="B53" s="562" t="s">
        <v>696</v>
      </c>
      <c r="C53" s="563">
        <f>C51+C52</f>
        <v>101940</v>
      </c>
      <c r="D53" s="564"/>
      <c r="E53" s="543"/>
      <c r="F53" s="543"/>
      <c r="G53" s="543"/>
      <c r="H53" s="543"/>
    </row>
    <row r="54" spans="1:8" ht="20.25">
      <c r="A54" s="543"/>
      <c r="B54" s="565"/>
      <c r="C54" s="566" t="str">
        <f>IF(D47&lt;&gt;C53,"Суммы инвестиционных потребностей и объемов финансирования должны совпадать!","")</f>
        <v/>
      </c>
      <c r="D54" s="543"/>
      <c r="E54" s="543"/>
      <c r="F54" s="543"/>
      <c r="G54" s="543"/>
      <c r="H54" s="543"/>
    </row>
    <row r="55" spans="1:8" ht="20.25">
      <c r="A55" s="543"/>
      <c r="B55" s="556" t="s">
        <v>697</v>
      </c>
      <c r="C55" s="543"/>
      <c r="D55" s="543"/>
      <c r="E55" s="543"/>
      <c r="F55" s="543"/>
      <c r="G55" s="543"/>
      <c r="H55" s="543"/>
    </row>
    <row r="56" spans="1:8" s="568" customFormat="1" ht="15.75">
      <c r="A56" s="567"/>
      <c r="B56" s="557" t="s">
        <v>454</v>
      </c>
      <c r="C56" s="557" t="s">
        <v>698</v>
      </c>
      <c r="D56" s="567"/>
      <c r="E56" s="567"/>
      <c r="F56" s="567"/>
      <c r="G56" s="567"/>
      <c r="H56" s="567"/>
    </row>
    <row r="57" spans="1:8" s="568" customFormat="1" ht="15">
      <c r="A57" s="567"/>
      <c r="B57" s="569" t="s">
        <v>699</v>
      </c>
      <c r="C57" s="570">
        <f>F18</f>
        <v>300000</v>
      </c>
      <c r="D57" s="567"/>
      <c r="E57" s="567"/>
      <c r="F57" s="567"/>
      <c r="G57" s="567"/>
      <c r="H57" s="567"/>
    </row>
    <row r="58" spans="1:8" s="568" customFormat="1" ht="15">
      <c r="A58" s="567"/>
      <c r="B58" s="571" t="s">
        <v>700</v>
      </c>
      <c r="C58" s="572">
        <v>0.45</v>
      </c>
      <c r="D58" s="567"/>
      <c r="E58" s="567"/>
      <c r="F58" s="522"/>
      <c r="G58" s="567"/>
      <c r="H58" s="567"/>
    </row>
    <row r="59" spans="1:8" s="577" customFormat="1" ht="15">
      <c r="A59" s="573"/>
      <c r="B59" s="574"/>
      <c r="C59" s="575"/>
      <c r="D59" s="573"/>
      <c r="E59" s="573"/>
      <c r="F59" s="576"/>
      <c r="G59" s="573"/>
      <c r="H59" s="573"/>
    </row>
    <row r="60" spans="1:8" s="577" customFormat="1" ht="15">
      <c r="A60" s="573"/>
      <c r="B60" s="578" t="s">
        <v>701</v>
      </c>
      <c r="C60" s="575"/>
      <c r="D60" s="573"/>
      <c r="E60" s="573"/>
      <c r="F60" s="576"/>
      <c r="G60" s="573"/>
      <c r="H60" s="573"/>
    </row>
    <row r="61" spans="1:8" s="577" customFormat="1" ht="15">
      <c r="A61" s="573"/>
      <c r="B61" s="578"/>
      <c r="C61" s="575"/>
      <c r="D61" s="573"/>
      <c r="E61" s="573"/>
      <c r="F61" s="576"/>
      <c r="G61" s="573"/>
      <c r="H61" s="573"/>
    </row>
    <row r="62" spans="1:8" s="568" customFormat="1" ht="15.75">
      <c r="A62" s="567"/>
      <c r="B62" s="579" t="s">
        <v>702</v>
      </c>
      <c r="C62" s="580">
        <f>C57*(1-C58)</f>
        <v>165000</v>
      </c>
      <c r="D62" s="567"/>
      <c r="E62" s="567"/>
      <c r="F62" s="567"/>
      <c r="G62" s="567"/>
      <c r="H62" s="567"/>
    </row>
    <row r="63" spans="1:8" s="568" customFormat="1" ht="15.75">
      <c r="A63" s="567"/>
      <c r="B63" s="579" t="s">
        <v>703</v>
      </c>
      <c r="C63" s="580">
        <f>C57-C57*C23-C62</f>
        <v>95400</v>
      </c>
      <c r="D63" s="581"/>
      <c r="E63" s="567"/>
      <c r="F63" s="567"/>
      <c r="G63" s="567"/>
      <c r="H63" s="567"/>
    </row>
    <row r="64" spans="1:8" s="568" customFormat="1" ht="15.75">
      <c r="A64" s="567"/>
      <c r="B64" s="582" t="s">
        <v>704</v>
      </c>
      <c r="C64" s="583">
        <f>D45-C48</f>
        <v>47300.159999999996</v>
      </c>
      <c r="D64" s="567"/>
      <c r="E64" s="567"/>
      <c r="F64" s="567"/>
      <c r="G64" s="567"/>
      <c r="H64" s="567"/>
    </row>
    <row r="65" spans="1:8" s="568" customFormat="1" ht="15">
      <c r="A65" s="567"/>
      <c r="B65" s="584"/>
      <c r="C65" s="585"/>
      <c r="D65" s="567"/>
      <c r="E65" s="567"/>
      <c r="F65" s="567"/>
      <c r="G65" s="567"/>
      <c r="H65" s="567"/>
    </row>
    <row r="66" spans="1:8" ht="30">
      <c r="A66" s="543"/>
      <c r="B66" s="578" t="s">
        <v>705</v>
      </c>
      <c r="C66" s="543"/>
      <c r="D66" s="543"/>
      <c r="E66" s="543"/>
      <c r="F66" s="543"/>
      <c r="G66" s="543"/>
      <c r="H66" s="543"/>
    </row>
    <row r="67" spans="1:8" ht="20.25">
      <c r="A67" s="586" t="s">
        <v>609</v>
      </c>
      <c r="B67" s="543"/>
      <c r="C67" s="543"/>
      <c r="D67" s="543"/>
      <c r="E67" s="543"/>
      <c r="F67" s="543"/>
      <c r="G67" s="543"/>
      <c r="H67" s="543"/>
    </row>
    <row r="68" spans="1:8" ht="20.25">
      <c r="A68" s="543"/>
      <c r="B68" s="587" t="s">
        <v>706</v>
      </c>
      <c r="C68" s="588" t="s">
        <v>688</v>
      </c>
      <c r="D68" s="588" t="s">
        <v>707</v>
      </c>
      <c r="E68" s="588" t="s">
        <v>708</v>
      </c>
      <c r="F68" s="588" t="s">
        <v>709</v>
      </c>
      <c r="G68" s="543"/>
      <c r="H68" s="543"/>
    </row>
    <row r="69" spans="1:8" ht="20.25">
      <c r="A69" s="543"/>
      <c r="B69" s="589" t="s">
        <v>694</v>
      </c>
      <c r="C69" s="590">
        <f>C51</f>
        <v>20387.999999999996</v>
      </c>
      <c r="D69" s="591">
        <f>C69/C71</f>
        <v>0.19999999999999996</v>
      </c>
      <c r="E69" s="591">
        <f>D51</f>
        <v>0.38</v>
      </c>
      <c r="F69" s="592">
        <f>D69*E69</f>
        <v>7.5999999999999984E-2</v>
      </c>
      <c r="G69" s="543"/>
      <c r="H69" s="543"/>
    </row>
    <row r="70" spans="1:8" ht="20.25">
      <c r="A70" s="543"/>
      <c r="B70" s="589" t="s">
        <v>695</v>
      </c>
      <c r="C70" s="590">
        <f>C52</f>
        <v>81552</v>
      </c>
      <c r="D70" s="591">
        <f>C70/C71</f>
        <v>0.8</v>
      </c>
      <c r="E70" s="591">
        <f>D52</f>
        <v>0.22</v>
      </c>
      <c r="F70" s="592">
        <f>(C70*(E70*(1-C22)))/C71</f>
        <v>0.13174289210319545</v>
      </c>
      <c r="G70" s="543"/>
      <c r="H70" s="543"/>
    </row>
    <row r="71" spans="1:8" ht="20.25">
      <c r="A71" s="543"/>
      <c r="B71" s="593" t="s">
        <v>696</v>
      </c>
      <c r="C71" s="594">
        <f>SUM(C69:C70)</f>
        <v>101940</v>
      </c>
      <c r="D71" s="595"/>
      <c r="E71" s="596"/>
      <c r="F71" s="597">
        <f>((C69*E69)+(C70*(E70*(1-C22))))/C71</f>
        <v>0.20774289210319544</v>
      </c>
      <c r="G71" s="543"/>
      <c r="H71" s="598"/>
    </row>
    <row r="72" spans="1:8" ht="20.25">
      <c r="A72" s="543"/>
      <c r="B72" s="565"/>
      <c r="C72" s="543"/>
      <c r="D72" s="543"/>
      <c r="E72" s="543"/>
      <c r="F72" s="543"/>
      <c r="G72" s="543"/>
      <c r="H72" s="543"/>
    </row>
    <row r="73" spans="1:8" ht="20.25">
      <c r="A73" s="543"/>
      <c r="B73" s="565"/>
      <c r="C73" s="543"/>
      <c r="D73" s="543"/>
      <c r="E73" s="543"/>
      <c r="F73" s="543"/>
      <c r="G73" s="543"/>
      <c r="H73" s="543"/>
    </row>
    <row r="74" spans="1:8" ht="30">
      <c r="A74" s="543"/>
      <c r="B74" s="578" t="s">
        <v>710</v>
      </c>
      <c r="C74" s="543"/>
      <c r="D74" s="543"/>
      <c r="E74" s="543"/>
      <c r="F74" s="543"/>
      <c r="G74" s="543"/>
      <c r="H74" s="543"/>
    </row>
    <row r="75" spans="1:8" ht="21" thickBot="1">
      <c r="A75" s="599" t="s">
        <v>609</v>
      </c>
      <c r="B75" s="600" t="s">
        <v>711</v>
      </c>
      <c r="C75" s="600"/>
      <c r="D75" s="600"/>
      <c r="E75" s="600"/>
      <c r="F75" s="600"/>
      <c r="G75" s="600"/>
      <c r="H75" s="600"/>
    </row>
    <row r="76" spans="1:8" ht="20.25">
      <c r="A76" s="543"/>
      <c r="B76" s="930" t="s">
        <v>454</v>
      </c>
      <c r="C76" s="932" t="s">
        <v>640</v>
      </c>
      <c r="D76" s="934" t="s">
        <v>712</v>
      </c>
      <c r="E76" s="935"/>
      <c r="F76" s="935"/>
      <c r="G76" s="935"/>
      <c r="H76" s="936"/>
    </row>
    <row r="77" spans="1:8" ht="20.25">
      <c r="A77" s="543"/>
      <c r="B77" s="931"/>
      <c r="C77" s="933"/>
      <c r="D77" s="601">
        <v>1</v>
      </c>
      <c r="E77" s="545">
        <v>2</v>
      </c>
      <c r="F77" s="545">
        <v>3</v>
      </c>
      <c r="G77" s="545">
        <v>4</v>
      </c>
      <c r="H77" s="602">
        <v>5</v>
      </c>
    </row>
    <row r="78" spans="1:8" ht="20.25">
      <c r="A78" s="543"/>
      <c r="B78" s="603" t="s">
        <v>713</v>
      </c>
      <c r="C78" s="604"/>
      <c r="D78" s="605">
        <f>$C$57</f>
        <v>300000</v>
      </c>
      <c r="E78" s="605">
        <f>$C$57</f>
        <v>300000</v>
      </c>
      <c r="F78" s="605">
        <f>$C$57</f>
        <v>300000</v>
      </c>
      <c r="G78" s="605">
        <f>$C$57</f>
        <v>300000</v>
      </c>
      <c r="H78" s="606">
        <f>$C$57</f>
        <v>300000</v>
      </c>
    </row>
    <row r="79" spans="1:8" ht="20.25">
      <c r="A79" s="543"/>
      <c r="B79" s="607" t="s">
        <v>714</v>
      </c>
      <c r="C79" s="604"/>
      <c r="D79" s="605">
        <f>D78*(1-$C$58)</f>
        <v>165000</v>
      </c>
      <c r="E79" s="605">
        <f>E78*(1-$C$58)</f>
        <v>165000</v>
      </c>
      <c r="F79" s="605">
        <f>F78*(1-$C$58)</f>
        <v>165000</v>
      </c>
      <c r="G79" s="605">
        <f>G78*(1-$C$58)</f>
        <v>165000</v>
      </c>
      <c r="H79" s="606">
        <f>H78*(1-$C$58)</f>
        <v>165000</v>
      </c>
    </row>
    <row r="80" spans="1:8" ht="20.25">
      <c r="A80" s="543"/>
      <c r="B80" s="607" t="s">
        <v>715</v>
      </c>
      <c r="C80" s="604"/>
      <c r="D80" s="605">
        <f>$C$63</f>
        <v>95400</v>
      </c>
      <c r="E80" s="605">
        <f>$C$63</f>
        <v>95400</v>
      </c>
      <c r="F80" s="605">
        <f>$C$63</f>
        <v>95400</v>
      </c>
      <c r="G80" s="605">
        <f>$C$63</f>
        <v>95400</v>
      </c>
      <c r="H80" s="606">
        <f>$C$63</f>
        <v>95400</v>
      </c>
    </row>
    <row r="81" spans="1:8" ht="20.25">
      <c r="A81" s="543"/>
      <c r="B81" s="608" t="s">
        <v>672</v>
      </c>
      <c r="C81" s="609"/>
      <c r="D81" s="605">
        <f>D78-D79-D80</f>
        <v>39600</v>
      </c>
      <c r="E81" s="605">
        <f>E78-E79-E80</f>
        <v>39600</v>
      </c>
      <c r="F81" s="605">
        <f>F78-F79-F80</f>
        <v>39600</v>
      </c>
      <c r="G81" s="605">
        <f>G78-G79-G80</f>
        <v>39600</v>
      </c>
      <c r="H81" s="606">
        <f>H78-H79-H80</f>
        <v>39600</v>
      </c>
    </row>
    <row r="82" spans="1:8" ht="20.25">
      <c r="A82" s="543"/>
      <c r="B82" s="607" t="s">
        <v>716</v>
      </c>
      <c r="C82" s="604"/>
      <c r="D82" s="605">
        <f>D81*$C$22</f>
        <v>9957.8492767810276</v>
      </c>
      <c r="E82" s="605">
        <f>E81*$C$22</f>
        <v>9957.8492767810276</v>
      </c>
      <c r="F82" s="605">
        <f>F81*$C$22</f>
        <v>9957.8492767810276</v>
      </c>
      <c r="G82" s="605">
        <f>G81*$C$22</f>
        <v>9957.8492767810276</v>
      </c>
      <c r="H82" s="606">
        <f>H81*$C$22</f>
        <v>9957.8492767810276</v>
      </c>
    </row>
    <row r="83" spans="1:8" ht="20.25">
      <c r="A83" s="543"/>
      <c r="B83" s="610" t="s">
        <v>500</v>
      </c>
      <c r="C83" s="611"/>
      <c r="D83" s="612">
        <f>D81-D82</f>
        <v>29642.150723218972</v>
      </c>
      <c r="E83" s="612">
        <f>E81-E82</f>
        <v>29642.150723218972</v>
      </c>
      <c r="F83" s="612">
        <f>F81-F82</f>
        <v>29642.150723218972</v>
      </c>
      <c r="G83" s="612">
        <f>G81-G82</f>
        <v>29642.150723218972</v>
      </c>
      <c r="H83" s="613">
        <f>H81-H82</f>
        <v>29642.150723218972</v>
      </c>
    </row>
    <row r="84" spans="1:8" ht="20.25">
      <c r="A84" s="543"/>
      <c r="B84" s="603" t="s">
        <v>289</v>
      </c>
      <c r="C84" s="604"/>
      <c r="D84" s="605">
        <f>$C$64/5</f>
        <v>9460.0319999999992</v>
      </c>
      <c r="E84" s="605">
        <f>$C$64/5</f>
        <v>9460.0319999999992</v>
      </c>
      <c r="F84" s="605">
        <f>$C$64/5</f>
        <v>9460.0319999999992</v>
      </c>
      <c r="G84" s="605">
        <f>$C$64/5</f>
        <v>9460.0319999999992</v>
      </c>
      <c r="H84" s="606">
        <f>$C$64/5</f>
        <v>9460.0319999999992</v>
      </c>
    </row>
    <row r="85" spans="1:8" ht="20.25">
      <c r="A85" s="543"/>
      <c r="B85" s="603" t="s">
        <v>717</v>
      </c>
      <c r="C85" s="604"/>
      <c r="D85" s="605"/>
      <c r="E85" s="605"/>
      <c r="F85" s="605"/>
      <c r="G85" s="605"/>
      <c r="H85" s="606">
        <f>C48</f>
        <v>11825.04</v>
      </c>
    </row>
    <row r="86" spans="1:8" ht="20.25">
      <c r="A86" s="543"/>
      <c r="B86" s="603" t="s">
        <v>718</v>
      </c>
      <c r="C86" s="604"/>
      <c r="D86" s="605"/>
      <c r="E86" s="605"/>
      <c r="F86" s="605"/>
      <c r="G86" s="605"/>
      <c r="H86" s="606">
        <f>D46</f>
        <v>42814.799999999996</v>
      </c>
    </row>
    <row r="87" spans="1:8" ht="20.25">
      <c r="A87" s="543"/>
      <c r="B87" s="603" t="s">
        <v>640</v>
      </c>
      <c r="C87" s="614">
        <v>0</v>
      </c>
      <c r="D87" s="614">
        <f>D77</f>
        <v>1</v>
      </c>
      <c r="E87" s="614">
        <f>E77</f>
        <v>2</v>
      </c>
      <c r="F87" s="614">
        <f>F77</f>
        <v>3</v>
      </c>
      <c r="G87" s="614">
        <f>G77</f>
        <v>4</v>
      </c>
      <c r="H87" s="615">
        <f>H77</f>
        <v>5</v>
      </c>
    </row>
    <row r="88" spans="1:8" ht="20.25">
      <c r="A88" s="543"/>
      <c r="B88" s="610" t="s">
        <v>719</v>
      </c>
      <c r="C88" s="616">
        <f>D47*-1</f>
        <v>-101940</v>
      </c>
      <c r="D88" s="617">
        <f>D83+D84+D85+D86</f>
        <v>39102.182723218968</v>
      </c>
      <c r="E88" s="617">
        <f>E83+E84+E85+E86</f>
        <v>39102.182723218968</v>
      </c>
      <c r="F88" s="617">
        <f>F83+F84+F85+F86</f>
        <v>39102.182723218968</v>
      </c>
      <c r="G88" s="617">
        <f>G83+G84+G85+G86</f>
        <v>39102.182723218968</v>
      </c>
      <c r="H88" s="618">
        <f>H83+H84+H85+H86</f>
        <v>93742.022723218965</v>
      </c>
    </row>
    <row r="89" spans="1:8" ht="20.25">
      <c r="A89" s="543"/>
      <c r="B89" s="610" t="s">
        <v>720</v>
      </c>
      <c r="C89" s="617">
        <f t="shared" ref="C89:H89" si="0">C88/(1+$F$71)^C87</f>
        <v>-101940</v>
      </c>
      <c r="D89" s="617">
        <f>D88/(1+$F$71)^D87</f>
        <v>32376.247443796081</v>
      </c>
      <c r="E89" s="617">
        <f t="shared" si="0"/>
        <v>26807.23493012261</v>
      </c>
      <c r="F89" s="617">
        <f t="shared" si="0"/>
        <v>22196.143819517565</v>
      </c>
      <c r="G89" s="617">
        <f t="shared" si="0"/>
        <v>18378.202815058274</v>
      </c>
      <c r="H89" s="618">
        <f t="shared" si="0"/>
        <v>36480.591312353165</v>
      </c>
    </row>
    <row r="90" spans="1:8" ht="21" thickBot="1">
      <c r="A90" s="543"/>
      <c r="B90" s="619" t="s">
        <v>721</v>
      </c>
      <c r="C90" s="620">
        <f>C89</f>
        <v>-101940</v>
      </c>
      <c r="D90" s="621">
        <f>C90+D89</f>
        <v>-69563.752556203923</v>
      </c>
      <c r="E90" s="621">
        <f>D90+E89</f>
        <v>-42756.517626081317</v>
      </c>
      <c r="F90" s="621">
        <f>E90+F89</f>
        <v>-20560.373806563752</v>
      </c>
      <c r="G90" s="621">
        <f>F90+G89</f>
        <v>-2182.170991505478</v>
      </c>
      <c r="H90" s="622">
        <f>G90+H89</f>
        <v>34298.420320847683</v>
      </c>
    </row>
    <row r="91" spans="1:8" s="484" customFormat="1" ht="20.25">
      <c r="A91" s="623"/>
      <c r="B91" s="624"/>
      <c r="C91" s="625"/>
      <c r="D91" s="626"/>
      <c r="E91" s="626"/>
      <c r="F91" s="626"/>
      <c r="G91" s="626"/>
      <c r="H91" s="626"/>
    </row>
    <row r="92" spans="1:8" s="484" customFormat="1" ht="30.75" thickBot="1">
      <c r="A92" s="623"/>
      <c r="B92" s="578" t="s">
        <v>722</v>
      </c>
      <c r="C92" s="625"/>
      <c r="D92" s="626"/>
      <c r="E92" s="626"/>
      <c r="F92" s="626"/>
      <c r="G92" s="626"/>
      <c r="H92" s="626"/>
    </row>
    <row r="93" spans="1:8" ht="20.25">
      <c r="A93" s="543"/>
      <c r="B93" s="627" t="s">
        <v>723</v>
      </c>
      <c r="C93" s="628">
        <f>G87+(-G90/H89)</f>
        <v>4.0598173141663567</v>
      </c>
      <c r="D93" s="629"/>
      <c r="E93" s="629"/>
      <c r="F93" s="629"/>
      <c r="G93" s="629"/>
      <c r="H93" s="629"/>
    </row>
    <row r="94" spans="1:8" ht="20.25">
      <c r="A94" s="543"/>
      <c r="B94" s="630" t="s">
        <v>724</v>
      </c>
      <c r="C94" s="606">
        <f>C88+NPV(F71,D88:H88)</f>
        <v>34298.420320847683</v>
      </c>
      <c r="D94" s="631">
        <f>C94/D47</f>
        <v>0.33645693859964376</v>
      </c>
      <c r="E94" s="567"/>
      <c r="F94" s="632"/>
      <c r="G94" s="632"/>
      <c r="H94" s="632"/>
    </row>
    <row r="95" spans="1:8" ht="21" thickBot="1">
      <c r="A95" s="543"/>
      <c r="B95" s="633" t="s">
        <v>725</v>
      </c>
      <c r="C95" s="634">
        <f>IRR(C88:H88)</f>
        <v>0.33567269436325065</v>
      </c>
      <c r="D95" s="635">
        <f>C95-F71</f>
        <v>0.12792980226005521</v>
      </c>
      <c r="E95" s="567"/>
      <c r="F95" s="632"/>
      <c r="G95" s="632"/>
      <c r="H95" s="632"/>
    </row>
    <row r="96" spans="1:8" ht="20.25">
      <c r="A96" s="543"/>
      <c r="B96" s="636"/>
      <c r="C96" s="637"/>
      <c r="D96" s="567"/>
      <c r="E96" s="567"/>
      <c r="F96" s="632"/>
      <c r="G96" s="632"/>
      <c r="H96" s="632"/>
    </row>
    <row r="97" spans="1:16" ht="33" customHeight="1">
      <c r="A97" s="543"/>
      <c r="B97" s="638"/>
      <c r="C97" s="937" t="s">
        <v>726</v>
      </c>
      <c r="D97" s="937"/>
      <c r="E97" s="937"/>
      <c r="F97" s="937"/>
      <c r="G97" s="937"/>
      <c r="H97" s="937"/>
      <c r="I97" s="937"/>
      <c r="J97" s="937"/>
      <c r="K97" s="937"/>
      <c r="L97" s="937"/>
      <c r="M97" s="937"/>
      <c r="N97" s="937"/>
      <c r="O97" s="937"/>
      <c r="P97" s="937"/>
    </row>
    <row r="98" spans="1:16" ht="20.25">
      <c r="A98" s="543"/>
      <c r="B98" s="636"/>
      <c r="C98" s="637"/>
      <c r="D98" s="567"/>
      <c r="E98" s="567"/>
      <c r="F98" s="632"/>
      <c r="G98" s="632"/>
      <c r="H98" s="632"/>
    </row>
    <row r="99" spans="1:16" ht="20.25">
      <c r="A99" s="543"/>
      <c r="B99" s="565"/>
      <c r="C99" s="543"/>
      <c r="D99" s="543"/>
      <c r="E99" s="543"/>
      <c r="F99" s="543"/>
      <c r="G99" s="543"/>
      <c r="H99" s="543"/>
    </row>
    <row r="100" spans="1:16" s="457" customFormat="1" ht="18">
      <c r="B100" s="499"/>
      <c r="C100" s="639"/>
      <c r="D100" s="499"/>
      <c r="E100" s="499"/>
      <c r="F100" s="499"/>
      <c r="G100" s="499"/>
    </row>
    <row r="101" spans="1:16" s="457" customFormat="1" ht="15">
      <c r="C101" s="640"/>
    </row>
    <row r="102" spans="1:16" s="457" customFormat="1" ht="15">
      <c r="C102" s="640"/>
    </row>
    <row r="103" spans="1:16" s="457" customFormat="1" ht="15">
      <c r="C103" s="640"/>
    </row>
    <row r="104" spans="1:16" s="457" customFormat="1" ht="15">
      <c r="C104" s="640"/>
    </row>
    <row r="105" spans="1:16" s="457" customFormat="1" ht="15">
      <c r="C105" s="640"/>
    </row>
    <row r="106" spans="1:16" s="457" customFormat="1" ht="15">
      <c r="C106" s="640"/>
    </row>
    <row r="107" spans="1:16" s="457" customFormat="1" ht="15">
      <c r="C107" s="640"/>
    </row>
    <row r="108" spans="1:16" s="457" customFormat="1" ht="15">
      <c r="C108" s="640"/>
    </row>
    <row r="109" spans="1:16" s="457" customFormat="1" ht="15">
      <c r="C109" s="640"/>
    </row>
    <row r="110" spans="1:16" s="457" customFormat="1" ht="15">
      <c r="C110" s="640"/>
    </row>
    <row r="111" spans="1:16" s="457" customFormat="1" ht="15">
      <c r="C111" s="640"/>
    </row>
    <row r="112" spans="1:16" s="457" customFormat="1" ht="15">
      <c r="C112" s="640"/>
    </row>
    <row r="113" spans="3:3" s="457" customFormat="1" ht="15">
      <c r="C113" s="640"/>
    </row>
  </sheetData>
  <mergeCells count="5">
    <mergeCell ref="C24:D24"/>
    <mergeCell ref="B76:B77"/>
    <mergeCell ref="C76:C77"/>
    <mergeCell ref="D76:H76"/>
    <mergeCell ref="C97:P9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58" workbookViewId="0">
      <selection activeCell="J15" sqref="J15"/>
    </sheetView>
  </sheetViews>
  <sheetFormatPr defaultColWidth="26.85546875" defaultRowHeight="12.75"/>
  <cols>
    <col min="1" max="1" width="2.7109375" style="644" customWidth="1"/>
    <col min="2" max="2" width="41" style="643" customWidth="1"/>
    <col min="3" max="3" width="12.5703125" style="644" customWidth="1"/>
    <col min="4" max="4" width="12.7109375" style="644" customWidth="1"/>
    <col min="5" max="5" width="12.42578125" style="644" customWidth="1"/>
    <col min="6" max="6" width="13.5703125" style="644" customWidth="1"/>
    <col min="7" max="8" width="11" style="644" customWidth="1"/>
    <col min="9" max="256" width="26.85546875" style="644"/>
    <col min="257" max="257" width="2.7109375" style="644" customWidth="1"/>
    <col min="258" max="258" width="41" style="644" customWidth="1"/>
    <col min="259" max="259" width="12.5703125" style="644" customWidth="1"/>
    <col min="260" max="260" width="12.7109375" style="644" customWidth="1"/>
    <col min="261" max="261" width="12.42578125" style="644" customWidth="1"/>
    <col min="262" max="262" width="13.5703125" style="644" customWidth="1"/>
    <col min="263" max="264" width="11" style="644" customWidth="1"/>
    <col min="265" max="512" width="26.85546875" style="644"/>
    <col min="513" max="513" width="2.7109375" style="644" customWidth="1"/>
    <col min="514" max="514" width="41" style="644" customWidth="1"/>
    <col min="515" max="515" width="12.5703125" style="644" customWidth="1"/>
    <col min="516" max="516" width="12.7109375" style="644" customWidth="1"/>
    <col min="517" max="517" width="12.42578125" style="644" customWidth="1"/>
    <col min="518" max="518" width="13.5703125" style="644" customWidth="1"/>
    <col min="519" max="520" width="11" style="644" customWidth="1"/>
    <col min="521" max="768" width="26.85546875" style="644"/>
    <col min="769" max="769" width="2.7109375" style="644" customWidth="1"/>
    <col min="770" max="770" width="41" style="644" customWidth="1"/>
    <col min="771" max="771" width="12.5703125" style="644" customWidth="1"/>
    <col min="772" max="772" width="12.7109375" style="644" customWidth="1"/>
    <col min="773" max="773" width="12.42578125" style="644" customWidth="1"/>
    <col min="774" max="774" width="13.5703125" style="644" customWidth="1"/>
    <col min="775" max="776" width="11" style="644" customWidth="1"/>
    <col min="777" max="1024" width="26.85546875" style="644"/>
    <col min="1025" max="1025" width="2.7109375" style="644" customWidth="1"/>
    <col min="1026" max="1026" width="41" style="644" customWidth="1"/>
    <col min="1027" max="1027" width="12.5703125" style="644" customWidth="1"/>
    <col min="1028" max="1028" width="12.7109375" style="644" customWidth="1"/>
    <col min="1029" max="1029" width="12.42578125" style="644" customWidth="1"/>
    <col min="1030" max="1030" width="13.5703125" style="644" customWidth="1"/>
    <col min="1031" max="1032" width="11" style="644" customWidth="1"/>
    <col min="1033" max="1280" width="26.85546875" style="644"/>
    <col min="1281" max="1281" width="2.7109375" style="644" customWidth="1"/>
    <col min="1282" max="1282" width="41" style="644" customWidth="1"/>
    <col min="1283" max="1283" width="12.5703125" style="644" customWidth="1"/>
    <col min="1284" max="1284" width="12.7109375" style="644" customWidth="1"/>
    <col min="1285" max="1285" width="12.42578125" style="644" customWidth="1"/>
    <col min="1286" max="1286" width="13.5703125" style="644" customWidth="1"/>
    <col min="1287" max="1288" width="11" style="644" customWidth="1"/>
    <col min="1289" max="1536" width="26.85546875" style="644"/>
    <col min="1537" max="1537" width="2.7109375" style="644" customWidth="1"/>
    <col min="1538" max="1538" width="41" style="644" customWidth="1"/>
    <col min="1539" max="1539" width="12.5703125" style="644" customWidth="1"/>
    <col min="1540" max="1540" width="12.7109375" style="644" customWidth="1"/>
    <col min="1541" max="1541" width="12.42578125" style="644" customWidth="1"/>
    <col min="1542" max="1542" width="13.5703125" style="644" customWidth="1"/>
    <col min="1543" max="1544" width="11" style="644" customWidth="1"/>
    <col min="1545" max="1792" width="26.85546875" style="644"/>
    <col min="1793" max="1793" width="2.7109375" style="644" customWidth="1"/>
    <col min="1794" max="1794" width="41" style="644" customWidth="1"/>
    <col min="1795" max="1795" width="12.5703125" style="644" customWidth="1"/>
    <col min="1796" max="1796" width="12.7109375" style="644" customWidth="1"/>
    <col min="1797" max="1797" width="12.42578125" style="644" customWidth="1"/>
    <col min="1798" max="1798" width="13.5703125" style="644" customWidth="1"/>
    <col min="1799" max="1800" width="11" style="644" customWidth="1"/>
    <col min="1801" max="2048" width="26.85546875" style="644"/>
    <col min="2049" max="2049" width="2.7109375" style="644" customWidth="1"/>
    <col min="2050" max="2050" width="41" style="644" customWidth="1"/>
    <col min="2051" max="2051" width="12.5703125" style="644" customWidth="1"/>
    <col min="2052" max="2052" width="12.7109375" style="644" customWidth="1"/>
    <col min="2053" max="2053" width="12.42578125" style="644" customWidth="1"/>
    <col min="2054" max="2054" width="13.5703125" style="644" customWidth="1"/>
    <col min="2055" max="2056" width="11" style="644" customWidth="1"/>
    <col min="2057" max="2304" width="26.85546875" style="644"/>
    <col min="2305" max="2305" width="2.7109375" style="644" customWidth="1"/>
    <col min="2306" max="2306" width="41" style="644" customWidth="1"/>
    <col min="2307" max="2307" width="12.5703125" style="644" customWidth="1"/>
    <col min="2308" max="2308" width="12.7109375" style="644" customWidth="1"/>
    <col min="2309" max="2309" width="12.42578125" style="644" customWidth="1"/>
    <col min="2310" max="2310" width="13.5703125" style="644" customWidth="1"/>
    <col min="2311" max="2312" width="11" style="644" customWidth="1"/>
    <col min="2313" max="2560" width="26.85546875" style="644"/>
    <col min="2561" max="2561" width="2.7109375" style="644" customWidth="1"/>
    <col min="2562" max="2562" width="41" style="644" customWidth="1"/>
    <col min="2563" max="2563" width="12.5703125" style="644" customWidth="1"/>
    <col min="2564" max="2564" width="12.7109375" style="644" customWidth="1"/>
    <col min="2565" max="2565" width="12.42578125" style="644" customWidth="1"/>
    <col min="2566" max="2566" width="13.5703125" style="644" customWidth="1"/>
    <col min="2567" max="2568" width="11" style="644" customWidth="1"/>
    <col min="2569" max="2816" width="26.85546875" style="644"/>
    <col min="2817" max="2817" width="2.7109375" style="644" customWidth="1"/>
    <col min="2818" max="2818" width="41" style="644" customWidth="1"/>
    <col min="2819" max="2819" width="12.5703125" style="644" customWidth="1"/>
    <col min="2820" max="2820" width="12.7109375" style="644" customWidth="1"/>
    <col min="2821" max="2821" width="12.42578125" style="644" customWidth="1"/>
    <col min="2822" max="2822" width="13.5703125" style="644" customWidth="1"/>
    <col min="2823" max="2824" width="11" style="644" customWidth="1"/>
    <col min="2825" max="3072" width="26.85546875" style="644"/>
    <col min="3073" max="3073" width="2.7109375" style="644" customWidth="1"/>
    <col min="3074" max="3074" width="41" style="644" customWidth="1"/>
    <col min="3075" max="3075" width="12.5703125" style="644" customWidth="1"/>
    <col min="3076" max="3076" width="12.7109375" style="644" customWidth="1"/>
    <col min="3077" max="3077" width="12.42578125" style="644" customWidth="1"/>
    <col min="3078" max="3078" width="13.5703125" style="644" customWidth="1"/>
    <col min="3079" max="3080" width="11" style="644" customWidth="1"/>
    <col min="3081" max="3328" width="26.85546875" style="644"/>
    <col min="3329" max="3329" width="2.7109375" style="644" customWidth="1"/>
    <col min="3330" max="3330" width="41" style="644" customWidth="1"/>
    <col min="3331" max="3331" width="12.5703125" style="644" customWidth="1"/>
    <col min="3332" max="3332" width="12.7109375" style="644" customWidth="1"/>
    <col min="3333" max="3333" width="12.42578125" style="644" customWidth="1"/>
    <col min="3334" max="3334" width="13.5703125" style="644" customWidth="1"/>
    <col min="3335" max="3336" width="11" style="644" customWidth="1"/>
    <col min="3337" max="3584" width="26.85546875" style="644"/>
    <col min="3585" max="3585" width="2.7109375" style="644" customWidth="1"/>
    <col min="3586" max="3586" width="41" style="644" customWidth="1"/>
    <col min="3587" max="3587" width="12.5703125" style="644" customWidth="1"/>
    <col min="3588" max="3588" width="12.7109375" style="644" customWidth="1"/>
    <col min="3589" max="3589" width="12.42578125" style="644" customWidth="1"/>
    <col min="3590" max="3590" width="13.5703125" style="644" customWidth="1"/>
    <col min="3591" max="3592" width="11" style="644" customWidth="1"/>
    <col min="3593" max="3840" width="26.85546875" style="644"/>
    <col min="3841" max="3841" width="2.7109375" style="644" customWidth="1"/>
    <col min="3842" max="3842" width="41" style="644" customWidth="1"/>
    <col min="3843" max="3843" width="12.5703125" style="644" customWidth="1"/>
    <col min="3844" max="3844" width="12.7109375" style="644" customWidth="1"/>
    <col min="3845" max="3845" width="12.42578125" style="644" customWidth="1"/>
    <col min="3846" max="3846" width="13.5703125" style="644" customWidth="1"/>
    <col min="3847" max="3848" width="11" style="644" customWidth="1"/>
    <col min="3849" max="4096" width="26.85546875" style="644"/>
    <col min="4097" max="4097" width="2.7109375" style="644" customWidth="1"/>
    <col min="4098" max="4098" width="41" style="644" customWidth="1"/>
    <col min="4099" max="4099" width="12.5703125" style="644" customWidth="1"/>
    <col min="4100" max="4100" width="12.7109375" style="644" customWidth="1"/>
    <col min="4101" max="4101" width="12.42578125" style="644" customWidth="1"/>
    <col min="4102" max="4102" width="13.5703125" style="644" customWidth="1"/>
    <col min="4103" max="4104" width="11" style="644" customWidth="1"/>
    <col min="4105" max="4352" width="26.85546875" style="644"/>
    <col min="4353" max="4353" width="2.7109375" style="644" customWidth="1"/>
    <col min="4354" max="4354" width="41" style="644" customWidth="1"/>
    <col min="4355" max="4355" width="12.5703125" style="644" customWidth="1"/>
    <col min="4356" max="4356" width="12.7109375" style="644" customWidth="1"/>
    <col min="4357" max="4357" width="12.42578125" style="644" customWidth="1"/>
    <col min="4358" max="4358" width="13.5703125" style="644" customWidth="1"/>
    <col min="4359" max="4360" width="11" style="644" customWidth="1"/>
    <col min="4361" max="4608" width="26.85546875" style="644"/>
    <col min="4609" max="4609" width="2.7109375" style="644" customWidth="1"/>
    <col min="4610" max="4610" width="41" style="644" customWidth="1"/>
    <col min="4611" max="4611" width="12.5703125" style="644" customWidth="1"/>
    <col min="4612" max="4612" width="12.7109375" style="644" customWidth="1"/>
    <col min="4613" max="4613" width="12.42578125" style="644" customWidth="1"/>
    <col min="4614" max="4614" width="13.5703125" style="644" customWidth="1"/>
    <col min="4615" max="4616" width="11" style="644" customWidth="1"/>
    <col min="4617" max="4864" width="26.85546875" style="644"/>
    <col min="4865" max="4865" width="2.7109375" style="644" customWidth="1"/>
    <col min="4866" max="4866" width="41" style="644" customWidth="1"/>
    <col min="4867" max="4867" width="12.5703125" style="644" customWidth="1"/>
    <col min="4868" max="4868" width="12.7109375" style="644" customWidth="1"/>
    <col min="4869" max="4869" width="12.42578125" style="644" customWidth="1"/>
    <col min="4870" max="4870" width="13.5703125" style="644" customWidth="1"/>
    <col min="4871" max="4872" width="11" style="644" customWidth="1"/>
    <col min="4873" max="5120" width="26.85546875" style="644"/>
    <col min="5121" max="5121" width="2.7109375" style="644" customWidth="1"/>
    <col min="5122" max="5122" width="41" style="644" customWidth="1"/>
    <col min="5123" max="5123" width="12.5703125" style="644" customWidth="1"/>
    <col min="5124" max="5124" width="12.7109375" style="644" customWidth="1"/>
    <col min="5125" max="5125" width="12.42578125" style="644" customWidth="1"/>
    <col min="5126" max="5126" width="13.5703125" style="644" customWidth="1"/>
    <col min="5127" max="5128" width="11" style="644" customWidth="1"/>
    <col min="5129" max="5376" width="26.85546875" style="644"/>
    <col min="5377" max="5377" width="2.7109375" style="644" customWidth="1"/>
    <col min="5378" max="5378" width="41" style="644" customWidth="1"/>
    <col min="5379" max="5379" width="12.5703125" style="644" customWidth="1"/>
    <col min="5380" max="5380" width="12.7109375" style="644" customWidth="1"/>
    <col min="5381" max="5381" width="12.42578125" style="644" customWidth="1"/>
    <col min="5382" max="5382" width="13.5703125" style="644" customWidth="1"/>
    <col min="5383" max="5384" width="11" style="644" customWidth="1"/>
    <col min="5385" max="5632" width="26.85546875" style="644"/>
    <col min="5633" max="5633" width="2.7109375" style="644" customWidth="1"/>
    <col min="5634" max="5634" width="41" style="644" customWidth="1"/>
    <col min="5635" max="5635" width="12.5703125" style="644" customWidth="1"/>
    <col min="5636" max="5636" width="12.7109375" style="644" customWidth="1"/>
    <col min="5637" max="5637" width="12.42578125" style="644" customWidth="1"/>
    <col min="5638" max="5638" width="13.5703125" style="644" customWidth="1"/>
    <col min="5639" max="5640" width="11" style="644" customWidth="1"/>
    <col min="5641" max="5888" width="26.85546875" style="644"/>
    <col min="5889" max="5889" width="2.7109375" style="644" customWidth="1"/>
    <col min="5890" max="5890" width="41" style="644" customWidth="1"/>
    <col min="5891" max="5891" width="12.5703125" style="644" customWidth="1"/>
    <col min="5892" max="5892" width="12.7109375" style="644" customWidth="1"/>
    <col min="5893" max="5893" width="12.42578125" style="644" customWidth="1"/>
    <col min="5894" max="5894" width="13.5703125" style="644" customWidth="1"/>
    <col min="5895" max="5896" width="11" style="644" customWidth="1"/>
    <col min="5897" max="6144" width="26.85546875" style="644"/>
    <col min="6145" max="6145" width="2.7109375" style="644" customWidth="1"/>
    <col min="6146" max="6146" width="41" style="644" customWidth="1"/>
    <col min="6147" max="6147" width="12.5703125" style="644" customWidth="1"/>
    <col min="6148" max="6148" width="12.7109375" style="644" customWidth="1"/>
    <col min="6149" max="6149" width="12.42578125" style="644" customWidth="1"/>
    <col min="6150" max="6150" width="13.5703125" style="644" customWidth="1"/>
    <col min="6151" max="6152" width="11" style="644" customWidth="1"/>
    <col min="6153" max="6400" width="26.85546875" style="644"/>
    <col min="6401" max="6401" width="2.7109375" style="644" customWidth="1"/>
    <col min="6402" max="6402" width="41" style="644" customWidth="1"/>
    <col min="6403" max="6403" width="12.5703125" style="644" customWidth="1"/>
    <col min="6404" max="6404" width="12.7109375" style="644" customWidth="1"/>
    <col min="6405" max="6405" width="12.42578125" style="644" customWidth="1"/>
    <col min="6406" max="6406" width="13.5703125" style="644" customWidth="1"/>
    <col min="6407" max="6408" width="11" style="644" customWidth="1"/>
    <col min="6409" max="6656" width="26.85546875" style="644"/>
    <col min="6657" max="6657" width="2.7109375" style="644" customWidth="1"/>
    <col min="6658" max="6658" width="41" style="644" customWidth="1"/>
    <col min="6659" max="6659" width="12.5703125" style="644" customWidth="1"/>
    <col min="6660" max="6660" width="12.7109375" style="644" customWidth="1"/>
    <col min="6661" max="6661" width="12.42578125" style="644" customWidth="1"/>
    <col min="6662" max="6662" width="13.5703125" style="644" customWidth="1"/>
    <col min="6663" max="6664" width="11" style="644" customWidth="1"/>
    <col min="6665" max="6912" width="26.85546875" style="644"/>
    <col min="6913" max="6913" width="2.7109375" style="644" customWidth="1"/>
    <col min="6914" max="6914" width="41" style="644" customWidth="1"/>
    <col min="6915" max="6915" width="12.5703125" style="644" customWidth="1"/>
    <col min="6916" max="6916" width="12.7109375" style="644" customWidth="1"/>
    <col min="6917" max="6917" width="12.42578125" style="644" customWidth="1"/>
    <col min="6918" max="6918" width="13.5703125" style="644" customWidth="1"/>
    <col min="6919" max="6920" width="11" style="644" customWidth="1"/>
    <col min="6921" max="7168" width="26.85546875" style="644"/>
    <col min="7169" max="7169" width="2.7109375" style="644" customWidth="1"/>
    <col min="7170" max="7170" width="41" style="644" customWidth="1"/>
    <col min="7171" max="7171" width="12.5703125" style="644" customWidth="1"/>
    <col min="7172" max="7172" width="12.7109375" style="644" customWidth="1"/>
    <col min="7173" max="7173" width="12.42578125" style="644" customWidth="1"/>
    <col min="7174" max="7174" width="13.5703125" style="644" customWidth="1"/>
    <col min="7175" max="7176" width="11" style="644" customWidth="1"/>
    <col min="7177" max="7424" width="26.85546875" style="644"/>
    <col min="7425" max="7425" width="2.7109375" style="644" customWidth="1"/>
    <col min="7426" max="7426" width="41" style="644" customWidth="1"/>
    <col min="7427" max="7427" width="12.5703125" style="644" customWidth="1"/>
    <col min="7428" max="7428" width="12.7109375" style="644" customWidth="1"/>
    <col min="7429" max="7429" width="12.42578125" style="644" customWidth="1"/>
    <col min="7430" max="7430" width="13.5703125" style="644" customWidth="1"/>
    <col min="7431" max="7432" width="11" style="644" customWidth="1"/>
    <col min="7433" max="7680" width="26.85546875" style="644"/>
    <col min="7681" max="7681" width="2.7109375" style="644" customWidth="1"/>
    <col min="7682" max="7682" width="41" style="644" customWidth="1"/>
    <col min="7683" max="7683" width="12.5703125" style="644" customWidth="1"/>
    <col min="7684" max="7684" width="12.7109375" style="644" customWidth="1"/>
    <col min="7685" max="7685" width="12.42578125" style="644" customWidth="1"/>
    <col min="7686" max="7686" width="13.5703125" style="644" customWidth="1"/>
    <col min="7687" max="7688" width="11" style="644" customWidth="1"/>
    <col min="7689" max="7936" width="26.85546875" style="644"/>
    <col min="7937" max="7937" width="2.7109375" style="644" customWidth="1"/>
    <col min="7938" max="7938" width="41" style="644" customWidth="1"/>
    <col min="7939" max="7939" width="12.5703125" style="644" customWidth="1"/>
    <col min="7940" max="7940" width="12.7109375" style="644" customWidth="1"/>
    <col min="7941" max="7941" width="12.42578125" style="644" customWidth="1"/>
    <col min="7942" max="7942" width="13.5703125" style="644" customWidth="1"/>
    <col min="7943" max="7944" width="11" style="644" customWidth="1"/>
    <col min="7945" max="8192" width="26.85546875" style="644"/>
    <col min="8193" max="8193" width="2.7109375" style="644" customWidth="1"/>
    <col min="8194" max="8194" width="41" style="644" customWidth="1"/>
    <col min="8195" max="8195" width="12.5703125" style="644" customWidth="1"/>
    <col min="8196" max="8196" width="12.7109375" style="644" customWidth="1"/>
    <col min="8197" max="8197" width="12.42578125" style="644" customWidth="1"/>
    <col min="8198" max="8198" width="13.5703125" style="644" customWidth="1"/>
    <col min="8199" max="8200" width="11" style="644" customWidth="1"/>
    <col min="8201" max="8448" width="26.85546875" style="644"/>
    <col min="8449" max="8449" width="2.7109375" style="644" customWidth="1"/>
    <col min="8450" max="8450" width="41" style="644" customWidth="1"/>
    <col min="8451" max="8451" width="12.5703125" style="644" customWidth="1"/>
    <col min="8452" max="8452" width="12.7109375" style="644" customWidth="1"/>
    <col min="8453" max="8453" width="12.42578125" style="644" customWidth="1"/>
    <col min="8454" max="8454" width="13.5703125" style="644" customWidth="1"/>
    <col min="8455" max="8456" width="11" style="644" customWidth="1"/>
    <col min="8457" max="8704" width="26.85546875" style="644"/>
    <col min="8705" max="8705" width="2.7109375" style="644" customWidth="1"/>
    <col min="8706" max="8706" width="41" style="644" customWidth="1"/>
    <col min="8707" max="8707" width="12.5703125" style="644" customWidth="1"/>
    <col min="8708" max="8708" width="12.7109375" style="644" customWidth="1"/>
    <col min="8709" max="8709" width="12.42578125" style="644" customWidth="1"/>
    <col min="8710" max="8710" width="13.5703125" style="644" customWidth="1"/>
    <col min="8711" max="8712" width="11" style="644" customWidth="1"/>
    <col min="8713" max="8960" width="26.85546875" style="644"/>
    <col min="8961" max="8961" width="2.7109375" style="644" customWidth="1"/>
    <col min="8962" max="8962" width="41" style="644" customWidth="1"/>
    <col min="8963" max="8963" width="12.5703125" style="644" customWidth="1"/>
    <col min="8964" max="8964" width="12.7109375" style="644" customWidth="1"/>
    <col min="8965" max="8965" width="12.42578125" style="644" customWidth="1"/>
    <col min="8966" max="8966" width="13.5703125" style="644" customWidth="1"/>
    <col min="8967" max="8968" width="11" style="644" customWidth="1"/>
    <col min="8969" max="9216" width="26.85546875" style="644"/>
    <col min="9217" max="9217" width="2.7109375" style="644" customWidth="1"/>
    <col min="9218" max="9218" width="41" style="644" customWidth="1"/>
    <col min="9219" max="9219" width="12.5703125" style="644" customWidth="1"/>
    <col min="9220" max="9220" width="12.7109375" style="644" customWidth="1"/>
    <col min="9221" max="9221" width="12.42578125" style="644" customWidth="1"/>
    <col min="9222" max="9222" width="13.5703125" style="644" customWidth="1"/>
    <col min="9223" max="9224" width="11" style="644" customWidth="1"/>
    <col min="9225" max="9472" width="26.85546875" style="644"/>
    <col min="9473" max="9473" width="2.7109375" style="644" customWidth="1"/>
    <col min="9474" max="9474" width="41" style="644" customWidth="1"/>
    <col min="9475" max="9475" width="12.5703125" style="644" customWidth="1"/>
    <col min="9476" max="9476" width="12.7109375" style="644" customWidth="1"/>
    <col min="9477" max="9477" width="12.42578125" style="644" customWidth="1"/>
    <col min="9478" max="9478" width="13.5703125" style="644" customWidth="1"/>
    <col min="9479" max="9480" width="11" style="644" customWidth="1"/>
    <col min="9481" max="9728" width="26.85546875" style="644"/>
    <col min="9729" max="9729" width="2.7109375" style="644" customWidth="1"/>
    <col min="9730" max="9730" width="41" style="644" customWidth="1"/>
    <col min="9731" max="9731" width="12.5703125" style="644" customWidth="1"/>
    <col min="9732" max="9732" width="12.7109375" style="644" customWidth="1"/>
    <col min="9733" max="9733" width="12.42578125" style="644" customWidth="1"/>
    <col min="9734" max="9734" width="13.5703125" style="644" customWidth="1"/>
    <col min="9735" max="9736" width="11" style="644" customWidth="1"/>
    <col min="9737" max="9984" width="26.85546875" style="644"/>
    <col min="9985" max="9985" width="2.7109375" style="644" customWidth="1"/>
    <col min="9986" max="9986" width="41" style="644" customWidth="1"/>
    <col min="9987" max="9987" width="12.5703125" style="644" customWidth="1"/>
    <col min="9988" max="9988" width="12.7109375" style="644" customWidth="1"/>
    <col min="9989" max="9989" width="12.42578125" style="644" customWidth="1"/>
    <col min="9990" max="9990" width="13.5703125" style="644" customWidth="1"/>
    <col min="9991" max="9992" width="11" style="644" customWidth="1"/>
    <col min="9993" max="10240" width="26.85546875" style="644"/>
    <col min="10241" max="10241" width="2.7109375" style="644" customWidth="1"/>
    <col min="10242" max="10242" width="41" style="644" customWidth="1"/>
    <col min="10243" max="10243" width="12.5703125" style="644" customWidth="1"/>
    <col min="10244" max="10244" width="12.7109375" style="644" customWidth="1"/>
    <col min="10245" max="10245" width="12.42578125" style="644" customWidth="1"/>
    <col min="10246" max="10246" width="13.5703125" style="644" customWidth="1"/>
    <col min="10247" max="10248" width="11" style="644" customWidth="1"/>
    <col min="10249" max="10496" width="26.85546875" style="644"/>
    <col min="10497" max="10497" width="2.7109375" style="644" customWidth="1"/>
    <col min="10498" max="10498" width="41" style="644" customWidth="1"/>
    <col min="10499" max="10499" width="12.5703125" style="644" customWidth="1"/>
    <col min="10500" max="10500" width="12.7109375" style="644" customWidth="1"/>
    <col min="10501" max="10501" width="12.42578125" style="644" customWidth="1"/>
    <col min="10502" max="10502" width="13.5703125" style="644" customWidth="1"/>
    <col min="10503" max="10504" width="11" style="644" customWidth="1"/>
    <col min="10505" max="10752" width="26.85546875" style="644"/>
    <col min="10753" max="10753" width="2.7109375" style="644" customWidth="1"/>
    <col min="10754" max="10754" width="41" style="644" customWidth="1"/>
    <col min="10755" max="10755" width="12.5703125" style="644" customWidth="1"/>
    <col min="10756" max="10756" width="12.7109375" style="644" customWidth="1"/>
    <col min="10757" max="10757" width="12.42578125" style="644" customWidth="1"/>
    <col min="10758" max="10758" width="13.5703125" style="644" customWidth="1"/>
    <col min="10759" max="10760" width="11" style="644" customWidth="1"/>
    <col min="10761" max="11008" width="26.85546875" style="644"/>
    <col min="11009" max="11009" width="2.7109375" style="644" customWidth="1"/>
    <col min="11010" max="11010" width="41" style="644" customWidth="1"/>
    <col min="11011" max="11011" width="12.5703125" style="644" customWidth="1"/>
    <col min="11012" max="11012" width="12.7109375" style="644" customWidth="1"/>
    <col min="11013" max="11013" width="12.42578125" style="644" customWidth="1"/>
    <col min="11014" max="11014" width="13.5703125" style="644" customWidth="1"/>
    <col min="11015" max="11016" width="11" style="644" customWidth="1"/>
    <col min="11017" max="11264" width="26.85546875" style="644"/>
    <col min="11265" max="11265" width="2.7109375" style="644" customWidth="1"/>
    <col min="11266" max="11266" width="41" style="644" customWidth="1"/>
    <col min="11267" max="11267" width="12.5703125" style="644" customWidth="1"/>
    <col min="11268" max="11268" width="12.7109375" style="644" customWidth="1"/>
    <col min="11269" max="11269" width="12.42578125" style="644" customWidth="1"/>
    <col min="11270" max="11270" width="13.5703125" style="644" customWidth="1"/>
    <col min="11271" max="11272" width="11" style="644" customWidth="1"/>
    <col min="11273" max="11520" width="26.85546875" style="644"/>
    <col min="11521" max="11521" width="2.7109375" style="644" customWidth="1"/>
    <col min="11522" max="11522" width="41" style="644" customWidth="1"/>
    <col min="11523" max="11523" width="12.5703125" style="644" customWidth="1"/>
    <col min="11524" max="11524" width="12.7109375" style="644" customWidth="1"/>
    <col min="11525" max="11525" width="12.42578125" style="644" customWidth="1"/>
    <col min="11526" max="11526" width="13.5703125" style="644" customWidth="1"/>
    <col min="11527" max="11528" width="11" style="644" customWidth="1"/>
    <col min="11529" max="11776" width="26.85546875" style="644"/>
    <col min="11777" max="11777" width="2.7109375" style="644" customWidth="1"/>
    <col min="11778" max="11778" width="41" style="644" customWidth="1"/>
    <col min="11779" max="11779" width="12.5703125" style="644" customWidth="1"/>
    <col min="11780" max="11780" width="12.7109375" style="644" customWidth="1"/>
    <col min="11781" max="11781" width="12.42578125" style="644" customWidth="1"/>
    <col min="11782" max="11782" width="13.5703125" style="644" customWidth="1"/>
    <col min="11783" max="11784" width="11" style="644" customWidth="1"/>
    <col min="11785" max="12032" width="26.85546875" style="644"/>
    <col min="12033" max="12033" width="2.7109375" style="644" customWidth="1"/>
    <col min="12034" max="12034" width="41" style="644" customWidth="1"/>
    <col min="12035" max="12035" width="12.5703125" style="644" customWidth="1"/>
    <col min="12036" max="12036" width="12.7109375" style="644" customWidth="1"/>
    <col min="12037" max="12037" width="12.42578125" style="644" customWidth="1"/>
    <col min="12038" max="12038" width="13.5703125" style="644" customWidth="1"/>
    <col min="12039" max="12040" width="11" style="644" customWidth="1"/>
    <col min="12041" max="12288" width="26.85546875" style="644"/>
    <col min="12289" max="12289" width="2.7109375" style="644" customWidth="1"/>
    <col min="12290" max="12290" width="41" style="644" customWidth="1"/>
    <col min="12291" max="12291" width="12.5703125" style="644" customWidth="1"/>
    <col min="12292" max="12292" width="12.7109375" style="644" customWidth="1"/>
    <col min="12293" max="12293" width="12.42578125" style="644" customWidth="1"/>
    <col min="12294" max="12294" width="13.5703125" style="644" customWidth="1"/>
    <col min="12295" max="12296" width="11" style="644" customWidth="1"/>
    <col min="12297" max="12544" width="26.85546875" style="644"/>
    <col min="12545" max="12545" width="2.7109375" style="644" customWidth="1"/>
    <col min="12546" max="12546" width="41" style="644" customWidth="1"/>
    <col min="12547" max="12547" width="12.5703125" style="644" customWidth="1"/>
    <col min="12548" max="12548" width="12.7109375" style="644" customWidth="1"/>
    <col min="12549" max="12549" width="12.42578125" style="644" customWidth="1"/>
    <col min="12550" max="12550" width="13.5703125" style="644" customWidth="1"/>
    <col min="12551" max="12552" width="11" style="644" customWidth="1"/>
    <col min="12553" max="12800" width="26.85546875" style="644"/>
    <col min="12801" max="12801" width="2.7109375" style="644" customWidth="1"/>
    <col min="12802" max="12802" width="41" style="644" customWidth="1"/>
    <col min="12803" max="12803" width="12.5703125" style="644" customWidth="1"/>
    <col min="12804" max="12804" width="12.7109375" style="644" customWidth="1"/>
    <col min="12805" max="12805" width="12.42578125" style="644" customWidth="1"/>
    <col min="12806" max="12806" width="13.5703125" style="644" customWidth="1"/>
    <col min="12807" max="12808" width="11" style="644" customWidth="1"/>
    <col min="12809" max="13056" width="26.85546875" style="644"/>
    <col min="13057" max="13057" width="2.7109375" style="644" customWidth="1"/>
    <col min="13058" max="13058" width="41" style="644" customWidth="1"/>
    <col min="13059" max="13059" width="12.5703125" style="644" customWidth="1"/>
    <col min="13060" max="13060" width="12.7109375" style="644" customWidth="1"/>
    <col min="13061" max="13061" width="12.42578125" style="644" customWidth="1"/>
    <col min="13062" max="13062" width="13.5703125" style="644" customWidth="1"/>
    <col min="13063" max="13064" width="11" style="644" customWidth="1"/>
    <col min="13065" max="13312" width="26.85546875" style="644"/>
    <col min="13313" max="13313" width="2.7109375" style="644" customWidth="1"/>
    <col min="13314" max="13314" width="41" style="644" customWidth="1"/>
    <col min="13315" max="13315" width="12.5703125" style="644" customWidth="1"/>
    <col min="13316" max="13316" width="12.7109375" style="644" customWidth="1"/>
    <col min="13317" max="13317" width="12.42578125" style="644" customWidth="1"/>
    <col min="13318" max="13318" width="13.5703125" style="644" customWidth="1"/>
    <col min="13319" max="13320" width="11" style="644" customWidth="1"/>
    <col min="13321" max="13568" width="26.85546875" style="644"/>
    <col min="13569" max="13569" width="2.7109375" style="644" customWidth="1"/>
    <col min="13570" max="13570" width="41" style="644" customWidth="1"/>
    <col min="13571" max="13571" width="12.5703125" style="644" customWidth="1"/>
    <col min="13572" max="13572" width="12.7109375" style="644" customWidth="1"/>
    <col min="13573" max="13573" width="12.42578125" style="644" customWidth="1"/>
    <col min="13574" max="13574" width="13.5703125" style="644" customWidth="1"/>
    <col min="13575" max="13576" width="11" style="644" customWidth="1"/>
    <col min="13577" max="13824" width="26.85546875" style="644"/>
    <col min="13825" max="13825" width="2.7109375" style="644" customWidth="1"/>
    <col min="13826" max="13826" width="41" style="644" customWidth="1"/>
    <col min="13827" max="13827" width="12.5703125" style="644" customWidth="1"/>
    <col min="13828" max="13828" width="12.7109375" style="644" customWidth="1"/>
    <col min="13829" max="13829" width="12.42578125" style="644" customWidth="1"/>
    <col min="13830" max="13830" width="13.5703125" style="644" customWidth="1"/>
    <col min="13831" max="13832" width="11" style="644" customWidth="1"/>
    <col min="13833" max="14080" width="26.85546875" style="644"/>
    <col min="14081" max="14081" width="2.7109375" style="644" customWidth="1"/>
    <col min="14082" max="14082" width="41" style="644" customWidth="1"/>
    <col min="14083" max="14083" width="12.5703125" style="644" customWidth="1"/>
    <col min="14084" max="14084" width="12.7109375" style="644" customWidth="1"/>
    <col min="14085" max="14085" width="12.42578125" style="644" customWidth="1"/>
    <col min="14086" max="14086" width="13.5703125" style="644" customWidth="1"/>
    <col min="14087" max="14088" width="11" style="644" customWidth="1"/>
    <col min="14089" max="14336" width="26.85546875" style="644"/>
    <col min="14337" max="14337" width="2.7109375" style="644" customWidth="1"/>
    <col min="14338" max="14338" width="41" style="644" customWidth="1"/>
    <col min="14339" max="14339" width="12.5703125" style="644" customWidth="1"/>
    <col min="14340" max="14340" width="12.7109375" style="644" customWidth="1"/>
    <col min="14341" max="14341" width="12.42578125" style="644" customWidth="1"/>
    <col min="14342" max="14342" width="13.5703125" style="644" customWidth="1"/>
    <col min="14343" max="14344" width="11" style="644" customWidth="1"/>
    <col min="14345" max="14592" width="26.85546875" style="644"/>
    <col min="14593" max="14593" width="2.7109375" style="644" customWidth="1"/>
    <col min="14594" max="14594" width="41" style="644" customWidth="1"/>
    <col min="14595" max="14595" width="12.5703125" style="644" customWidth="1"/>
    <col min="14596" max="14596" width="12.7109375" style="644" customWidth="1"/>
    <col min="14597" max="14597" width="12.42578125" style="644" customWidth="1"/>
    <col min="14598" max="14598" width="13.5703125" style="644" customWidth="1"/>
    <col min="14599" max="14600" width="11" style="644" customWidth="1"/>
    <col min="14601" max="14848" width="26.85546875" style="644"/>
    <col min="14849" max="14849" width="2.7109375" style="644" customWidth="1"/>
    <col min="14850" max="14850" width="41" style="644" customWidth="1"/>
    <col min="14851" max="14851" width="12.5703125" style="644" customWidth="1"/>
    <col min="14852" max="14852" width="12.7109375" style="644" customWidth="1"/>
    <col min="14853" max="14853" width="12.42578125" style="644" customWidth="1"/>
    <col min="14854" max="14854" width="13.5703125" style="644" customWidth="1"/>
    <col min="14855" max="14856" width="11" style="644" customWidth="1"/>
    <col min="14857" max="15104" width="26.85546875" style="644"/>
    <col min="15105" max="15105" width="2.7109375" style="644" customWidth="1"/>
    <col min="15106" max="15106" width="41" style="644" customWidth="1"/>
    <col min="15107" max="15107" width="12.5703125" style="644" customWidth="1"/>
    <col min="15108" max="15108" width="12.7109375" style="644" customWidth="1"/>
    <col min="15109" max="15109" width="12.42578125" style="644" customWidth="1"/>
    <col min="15110" max="15110" width="13.5703125" style="644" customWidth="1"/>
    <col min="15111" max="15112" width="11" style="644" customWidth="1"/>
    <col min="15113" max="15360" width="26.85546875" style="644"/>
    <col min="15361" max="15361" width="2.7109375" style="644" customWidth="1"/>
    <col min="15362" max="15362" width="41" style="644" customWidth="1"/>
    <col min="15363" max="15363" width="12.5703125" style="644" customWidth="1"/>
    <col min="15364" max="15364" width="12.7109375" style="644" customWidth="1"/>
    <col min="15365" max="15365" width="12.42578125" style="644" customWidth="1"/>
    <col min="15366" max="15366" width="13.5703125" style="644" customWidth="1"/>
    <col min="15367" max="15368" width="11" style="644" customWidth="1"/>
    <col min="15369" max="15616" width="26.85546875" style="644"/>
    <col min="15617" max="15617" width="2.7109375" style="644" customWidth="1"/>
    <col min="15618" max="15618" width="41" style="644" customWidth="1"/>
    <col min="15619" max="15619" width="12.5703125" style="644" customWidth="1"/>
    <col min="15620" max="15620" width="12.7109375" style="644" customWidth="1"/>
    <col min="15621" max="15621" width="12.42578125" style="644" customWidth="1"/>
    <col min="15622" max="15622" width="13.5703125" style="644" customWidth="1"/>
    <col min="15623" max="15624" width="11" style="644" customWidth="1"/>
    <col min="15625" max="15872" width="26.85546875" style="644"/>
    <col min="15873" max="15873" width="2.7109375" style="644" customWidth="1"/>
    <col min="15874" max="15874" width="41" style="644" customWidth="1"/>
    <col min="15875" max="15875" width="12.5703125" style="644" customWidth="1"/>
    <col min="15876" max="15876" width="12.7109375" style="644" customWidth="1"/>
    <col min="15877" max="15877" width="12.42578125" style="644" customWidth="1"/>
    <col min="15878" max="15878" width="13.5703125" style="644" customWidth="1"/>
    <col min="15879" max="15880" width="11" style="644" customWidth="1"/>
    <col min="15881" max="16128" width="26.85546875" style="644"/>
    <col min="16129" max="16129" width="2.7109375" style="644" customWidth="1"/>
    <col min="16130" max="16130" width="41" style="644" customWidth="1"/>
    <col min="16131" max="16131" width="12.5703125" style="644" customWidth="1"/>
    <col min="16132" max="16132" width="12.7109375" style="644" customWidth="1"/>
    <col min="16133" max="16133" width="12.42578125" style="644" customWidth="1"/>
    <col min="16134" max="16134" width="13.5703125" style="644" customWidth="1"/>
    <col min="16135" max="16136" width="11" style="644" customWidth="1"/>
    <col min="16137" max="16384" width="26.85546875" style="644"/>
  </cols>
  <sheetData>
    <row r="1" spans="1:4" ht="15.75">
      <c r="A1" s="642" t="s">
        <v>727</v>
      </c>
    </row>
    <row r="2" spans="1:4" ht="25.5">
      <c r="B2" s="645" t="s">
        <v>686</v>
      </c>
      <c r="C2" s="646" t="s">
        <v>688</v>
      </c>
    </row>
    <row r="3" spans="1:4">
      <c r="B3" s="647" t="s">
        <v>649</v>
      </c>
      <c r="C3" s="648">
        <f>проект!D45</f>
        <v>59125.2</v>
      </c>
    </row>
    <row r="4" spans="1:4">
      <c r="B4" s="647" t="s">
        <v>646</v>
      </c>
      <c r="C4" s="648">
        <f>проект!D46</f>
        <v>42814.799999999996</v>
      </c>
    </row>
    <row r="5" spans="1:4">
      <c r="B5" s="649" t="s">
        <v>689</v>
      </c>
      <c r="C5" s="650">
        <f>SUM(C3:C4)</f>
        <v>101940</v>
      </c>
    </row>
    <row r="8" spans="1:4" ht="40.5" customHeight="1" thickBot="1">
      <c r="B8" s="651" t="s">
        <v>691</v>
      </c>
      <c r="C8" s="646" t="s">
        <v>688</v>
      </c>
      <c r="D8" s="646" t="s">
        <v>728</v>
      </c>
    </row>
    <row r="9" spans="1:4" ht="16.5" thickBot="1">
      <c r="B9" s="647" t="s">
        <v>694</v>
      </c>
      <c r="C9" s="652">
        <f>проект!C51</f>
        <v>20387.999999999996</v>
      </c>
      <c r="D9" s="653">
        <f>проект!D51</f>
        <v>0.38</v>
      </c>
    </row>
    <row r="10" spans="1:4" ht="16.5" thickBot="1">
      <c r="B10" s="647" t="s">
        <v>695</v>
      </c>
      <c r="C10" s="654">
        <f>проект!C52</f>
        <v>81552</v>
      </c>
      <c r="D10" s="655">
        <f>проект!D52</f>
        <v>0.22</v>
      </c>
    </row>
    <row r="11" spans="1:4">
      <c r="B11" s="656" t="s">
        <v>696</v>
      </c>
      <c r="C11" s="657">
        <f>SUM(C9:C10)</f>
        <v>101940</v>
      </c>
      <c r="D11" s="658"/>
    </row>
    <row r="12" spans="1:4">
      <c r="C12" s="659" t="str">
        <f>IF(C5&lt;&gt;C11,"Суммы инвестиционных потребностей и объемов финансирования должны совпадать!","")</f>
        <v/>
      </c>
    </row>
    <row r="14" spans="1:4">
      <c r="B14" s="651" t="s">
        <v>454</v>
      </c>
      <c r="C14" s="646" t="s">
        <v>698</v>
      </c>
    </row>
    <row r="15" spans="1:4" ht="25.5">
      <c r="B15" s="660" t="s">
        <v>729</v>
      </c>
      <c r="C15" s="648">
        <v>7500</v>
      </c>
    </row>
    <row r="16" spans="1:4">
      <c r="B16" s="647" t="s">
        <v>730</v>
      </c>
      <c r="C16" s="661">
        <f>C15*C18-C17</f>
        <v>135000</v>
      </c>
      <c r="D16" s="662"/>
    </row>
    <row r="17" spans="1:6">
      <c r="B17" s="647" t="s">
        <v>731</v>
      </c>
      <c r="C17" s="663">
        <f>C15*C19</f>
        <v>165000</v>
      </c>
    </row>
    <row r="18" spans="1:6">
      <c r="B18" s="664" t="s">
        <v>732</v>
      </c>
      <c r="C18" s="665">
        <v>40</v>
      </c>
    </row>
    <row r="19" spans="1:6" ht="25.5">
      <c r="B19" s="664" t="s">
        <v>733</v>
      </c>
      <c r="C19" s="665">
        <f>C18*(1-проект!C58)</f>
        <v>22</v>
      </c>
    </row>
    <row r="20" spans="1:6" ht="25.5">
      <c r="B20" s="647" t="s">
        <v>734</v>
      </c>
      <c r="C20" s="648">
        <f>проект!C63-C21</f>
        <v>85939.967999999993</v>
      </c>
    </row>
    <row r="21" spans="1:6">
      <c r="B21" s="647" t="s">
        <v>735</v>
      </c>
      <c r="C21" s="648">
        <f>(C3-C23)/5</f>
        <v>9460.0319999999992</v>
      </c>
    </row>
    <row r="23" spans="1:6">
      <c r="B23" s="643" t="s">
        <v>717</v>
      </c>
      <c r="C23" s="666">
        <f>проект!C48</f>
        <v>11825.04</v>
      </c>
    </row>
    <row r="26" spans="1:6" ht="15.75">
      <c r="A26" s="667" t="s">
        <v>736</v>
      </c>
      <c r="B26" s="644"/>
    </row>
    <row r="27" spans="1:6" ht="35.25" customHeight="1">
      <c r="B27" s="645" t="s">
        <v>706</v>
      </c>
      <c r="C27" s="646" t="s">
        <v>460</v>
      </c>
      <c r="D27" s="646" t="s">
        <v>707</v>
      </c>
      <c r="E27" s="646" t="s">
        <v>708</v>
      </c>
      <c r="F27" s="646" t="s">
        <v>737</v>
      </c>
    </row>
    <row r="28" spans="1:6">
      <c r="B28" s="647" t="s">
        <v>694</v>
      </c>
      <c r="C28" s="648">
        <f>C9</f>
        <v>20387.999999999996</v>
      </c>
      <c r="D28" s="668">
        <f>C28/C30</f>
        <v>0.19999999999999996</v>
      </c>
      <c r="E28" s="669">
        <f>D9</f>
        <v>0.38</v>
      </c>
      <c r="F28" s="670">
        <f>D28*E28</f>
        <v>7.5999999999999984E-2</v>
      </c>
    </row>
    <row r="29" spans="1:6">
      <c r="B29" s="647" t="s">
        <v>695</v>
      </c>
      <c r="C29" s="648">
        <f>C10</f>
        <v>81552</v>
      </c>
      <c r="D29" s="668">
        <f>C29/C30</f>
        <v>0.8</v>
      </c>
      <c r="E29" s="669">
        <f>D10</f>
        <v>0.22</v>
      </c>
      <c r="F29" s="670">
        <f>(C29*(E29*(1-проект!C22)))/C30</f>
        <v>0.13174289210319545</v>
      </c>
    </row>
    <row r="30" spans="1:6">
      <c r="B30" s="649" t="s">
        <v>696</v>
      </c>
      <c r="C30" s="650">
        <f>C28+C29</f>
        <v>101940</v>
      </c>
      <c r="D30" s="671">
        <f>SUM(D28:D29)</f>
        <v>1</v>
      </c>
      <c r="E30" s="672"/>
      <c r="F30" s="673">
        <f>((C28*E28)+(C29*(E29*(1-проект!C22))))/C30</f>
        <v>0.20774289210319544</v>
      </c>
    </row>
    <row r="33" spans="1:8" ht="15.75">
      <c r="A33" s="667" t="s">
        <v>738</v>
      </c>
      <c r="B33" s="644"/>
    </row>
    <row r="34" spans="1:8">
      <c r="B34" s="943" t="s">
        <v>454</v>
      </c>
      <c r="C34" s="945" t="s">
        <v>712</v>
      </c>
      <c r="D34" s="946"/>
      <c r="E34" s="946"/>
      <c r="F34" s="946"/>
      <c r="G34" s="947"/>
    </row>
    <row r="35" spans="1:8">
      <c r="B35" s="944"/>
      <c r="C35" s="674">
        <v>1</v>
      </c>
      <c r="D35" s="675">
        <v>2</v>
      </c>
      <c r="E35" s="675">
        <v>3</v>
      </c>
      <c r="F35" s="675">
        <v>4</v>
      </c>
      <c r="G35" s="675">
        <v>5</v>
      </c>
    </row>
    <row r="36" spans="1:8">
      <c r="B36" s="676" t="s">
        <v>739</v>
      </c>
      <c r="C36" s="677">
        <f>C10</f>
        <v>81552</v>
      </c>
      <c r="D36" s="677">
        <f>C40</f>
        <v>71014.997601255629</v>
      </c>
      <c r="E36" s="677">
        <f>D40</f>
        <v>58159.854674787508</v>
      </c>
      <c r="F36" s="677">
        <f>E40</f>
        <v>42476.580304496398</v>
      </c>
      <c r="G36" s="677">
        <f>F40</f>
        <v>23342.985572741243</v>
      </c>
    </row>
    <row r="37" spans="1:8">
      <c r="B37" s="676" t="s">
        <v>740</v>
      </c>
      <c r="C37" s="677">
        <f>C39-C38</f>
        <v>10537.002398744364</v>
      </c>
      <c r="D37" s="677">
        <f>D39-D38</f>
        <v>12855.142926468125</v>
      </c>
      <c r="E37" s="677">
        <f>E39-E38</f>
        <v>15683.27437029111</v>
      </c>
      <c r="F37" s="677">
        <f>F39-F38</f>
        <v>19133.594731755154</v>
      </c>
      <c r="G37" s="677">
        <f>G39-G38</f>
        <v>23342.985572741287</v>
      </c>
    </row>
    <row r="38" spans="1:8">
      <c r="B38" s="676" t="s">
        <v>741</v>
      </c>
      <c r="C38" s="677">
        <f>C36*$E$29</f>
        <v>17941.439999999999</v>
      </c>
      <c r="D38" s="677">
        <f>D36*$E$29</f>
        <v>15623.299472276238</v>
      </c>
      <c r="E38" s="677">
        <f>E36*$E$29</f>
        <v>12795.168028453252</v>
      </c>
      <c r="F38" s="677">
        <f>F36*$E$29</f>
        <v>9344.8476669892079</v>
      </c>
      <c r="G38" s="677">
        <f>G36*$E$29</f>
        <v>5135.4568260030737</v>
      </c>
    </row>
    <row r="39" spans="1:8">
      <c r="B39" s="676" t="s">
        <v>742</v>
      </c>
      <c r="C39" s="677">
        <f>-PMT(E29,5,C10)</f>
        <v>28478.442398744362</v>
      </c>
      <c r="D39" s="677">
        <f>C39</f>
        <v>28478.442398744362</v>
      </c>
      <c r="E39" s="677">
        <f>D39</f>
        <v>28478.442398744362</v>
      </c>
      <c r="F39" s="677">
        <f>E39</f>
        <v>28478.442398744362</v>
      </c>
      <c r="G39" s="677">
        <f>F39</f>
        <v>28478.442398744362</v>
      </c>
    </row>
    <row r="40" spans="1:8">
      <c r="B40" s="676" t="s">
        <v>743</v>
      </c>
      <c r="C40" s="677">
        <f>C36-C37</f>
        <v>71014.997601255629</v>
      </c>
      <c r="D40" s="677">
        <f>D36-D37</f>
        <v>58159.854674787508</v>
      </c>
      <c r="E40" s="677">
        <f>E36-E37</f>
        <v>42476.580304496398</v>
      </c>
      <c r="F40" s="677">
        <f>F36-F37</f>
        <v>23342.985572741243</v>
      </c>
      <c r="G40" s="677">
        <f>G36-G37</f>
        <v>-4.3655745685100555E-11</v>
      </c>
    </row>
    <row r="43" spans="1:8" s="439" customFormat="1" ht="15.75" customHeight="1">
      <c r="A43" s="678" t="s">
        <v>744</v>
      </c>
    </row>
    <row r="44" spans="1:8" ht="12.75" customHeight="1">
      <c r="B44" s="938" t="s">
        <v>454</v>
      </c>
      <c r="C44" s="938" t="s">
        <v>640</v>
      </c>
      <c r="D44" s="940" t="s">
        <v>712</v>
      </c>
      <c r="E44" s="941"/>
      <c r="F44" s="941"/>
      <c r="G44" s="941"/>
      <c r="H44" s="942"/>
    </row>
    <row r="45" spans="1:8">
      <c r="B45" s="939"/>
      <c r="C45" s="939"/>
      <c r="D45" s="679">
        <v>1</v>
      </c>
      <c r="E45" s="646">
        <v>2</v>
      </c>
      <c r="F45" s="646">
        <v>3</v>
      </c>
      <c r="G45" s="646">
        <v>4</v>
      </c>
      <c r="H45" s="646">
        <v>5</v>
      </c>
    </row>
    <row r="46" spans="1:8">
      <c r="B46" s="647" t="s">
        <v>745</v>
      </c>
      <c r="C46" s="680"/>
      <c r="D46" s="681">
        <f>$C$15*$C$18</f>
        <v>300000</v>
      </c>
      <c r="E46" s="681">
        <f>$C$15*$C$18</f>
        <v>300000</v>
      </c>
      <c r="F46" s="681">
        <f>$C$15*$C$18</f>
        <v>300000</v>
      </c>
      <c r="G46" s="681">
        <f>$C$15*$C$18</f>
        <v>300000</v>
      </c>
      <c r="H46" s="681">
        <f>$C$15*$C$18</f>
        <v>300000</v>
      </c>
    </row>
    <row r="47" spans="1:8">
      <c r="B47" s="664" t="s">
        <v>714</v>
      </c>
      <c r="C47" s="680"/>
      <c r="D47" s="681">
        <f>$C$17</f>
        <v>165000</v>
      </c>
      <c r="E47" s="681">
        <f>$C$17</f>
        <v>165000</v>
      </c>
      <c r="F47" s="681">
        <f>$C$17</f>
        <v>165000</v>
      </c>
      <c r="G47" s="681">
        <f>$C$17</f>
        <v>165000</v>
      </c>
      <c r="H47" s="681">
        <f>$C$17</f>
        <v>165000</v>
      </c>
    </row>
    <row r="48" spans="1:8">
      <c r="B48" s="664" t="s">
        <v>715</v>
      </c>
      <c r="C48" s="680"/>
      <c r="D48" s="681">
        <f>$C$20</f>
        <v>85939.967999999993</v>
      </c>
      <c r="E48" s="681">
        <f>$C$20</f>
        <v>85939.967999999993</v>
      </c>
      <c r="F48" s="681">
        <f>$C$20</f>
        <v>85939.967999999993</v>
      </c>
      <c r="G48" s="681">
        <f>$C$20</f>
        <v>85939.967999999993</v>
      </c>
      <c r="H48" s="681">
        <f>$C$20</f>
        <v>85939.967999999993</v>
      </c>
    </row>
    <row r="49" spans="1:8">
      <c r="B49" s="664" t="s">
        <v>746</v>
      </c>
      <c r="C49" s="680"/>
      <c r="D49" s="681">
        <f>$C$21</f>
        <v>9460.0319999999992</v>
      </c>
      <c r="E49" s="681">
        <f>$C$21</f>
        <v>9460.0319999999992</v>
      </c>
      <c r="F49" s="681">
        <f>$C$21</f>
        <v>9460.0319999999992</v>
      </c>
      <c r="G49" s="681">
        <f>$C$21</f>
        <v>9460.0319999999992</v>
      </c>
      <c r="H49" s="681">
        <f>$C$21</f>
        <v>9460.0319999999992</v>
      </c>
    </row>
    <row r="50" spans="1:8">
      <c r="B50" s="682" t="s">
        <v>672</v>
      </c>
      <c r="C50" s="683"/>
      <c r="D50" s="683">
        <f>D46-D47-D48-D49</f>
        <v>39600.000000000007</v>
      </c>
      <c r="E50" s="683">
        <f>E46-E47-E48-E49</f>
        <v>39600.000000000007</v>
      </c>
      <c r="F50" s="683">
        <f>F46-F47-F48-F49</f>
        <v>39600.000000000007</v>
      </c>
      <c r="G50" s="683">
        <f>G46-G47-G48-G49</f>
        <v>39600.000000000007</v>
      </c>
      <c r="H50" s="683">
        <f>H46-H47-H48-H49</f>
        <v>39600.000000000007</v>
      </c>
    </row>
    <row r="51" spans="1:8">
      <c r="B51" s="664" t="s">
        <v>716</v>
      </c>
      <c r="C51" s="680"/>
      <c r="D51" s="681">
        <f>D50*проект!$C$22</f>
        <v>9957.8492767810294</v>
      </c>
      <c r="E51" s="681">
        <f>E50*проект!$C$22</f>
        <v>9957.8492767810294</v>
      </c>
      <c r="F51" s="681">
        <f>F50*проект!$C$22</f>
        <v>9957.8492767810294</v>
      </c>
      <c r="G51" s="681">
        <f>G50*проект!$C$22</f>
        <v>9957.8492767810294</v>
      </c>
      <c r="H51" s="681">
        <f>H50*проект!$C$22</f>
        <v>9957.8492767810294</v>
      </c>
    </row>
    <row r="52" spans="1:8">
      <c r="B52" s="649" t="s">
        <v>500</v>
      </c>
      <c r="C52" s="684"/>
      <c r="D52" s="684">
        <f>D50-D51</f>
        <v>29642.150723218976</v>
      </c>
      <c r="E52" s="684">
        <f>E50-E51</f>
        <v>29642.150723218976</v>
      </c>
      <c r="F52" s="684">
        <f>F50-F51</f>
        <v>29642.150723218976</v>
      </c>
      <c r="G52" s="684">
        <f>G50-G51</f>
        <v>29642.150723218976</v>
      </c>
      <c r="H52" s="684">
        <f>H50-H51</f>
        <v>29642.150723218976</v>
      </c>
    </row>
    <row r="53" spans="1:8">
      <c r="B53" s="647" t="s">
        <v>289</v>
      </c>
      <c r="C53" s="680"/>
      <c r="D53" s="681">
        <f>D49</f>
        <v>9460.0319999999992</v>
      </c>
      <c r="E53" s="681">
        <f>E49</f>
        <v>9460.0319999999992</v>
      </c>
      <c r="F53" s="681">
        <f>F49</f>
        <v>9460.0319999999992</v>
      </c>
      <c r="G53" s="681">
        <f>G49</f>
        <v>9460.0319999999992</v>
      </c>
      <c r="H53" s="681">
        <f>H49</f>
        <v>9460.0319999999992</v>
      </c>
    </row>
    <row r="54" spans="1:8">
      <c r="B54" s="647" t="s">
        <v>717</v>
      </c>
      <c r="C54" s="680"/>
      <c r="D54" s="680"/>
      <c r="E54" s="680"/>
      <c r="F54" s="680"/>
      <c r="G54" s="680"/>
      <c r="H54" s="680">
        <f>C23</f>
        <v>11825.04</v>
      </c>
    </row>
    <row r="55" spans="1:8">
      <c r="B55" s="647" t="s">
        <v>718</v>
      </c>
      <c r="C55" s="680"/>
      <c r="D55" s="680"/>
      <c r="E55" s="680"/>
      <c r="F55" s="680"/>
      <c r="G55" s="680"/>
      <c r="H55" s="680">
        <f>C4</f>
        <v>42814.799999999996</v>
      </c>
    </row>
    <row r="56" spans="1:8">
      <c r="B56" s="647" t="s">
        <v>640</v>
      </c>
      <c r="C56" s="681">
        <f>C11*-1</f>
        <v>-101940</v>
      </c>
      <c r="D56" s="685">
        <v>1</v>
      </c>
      <c r="E56" s="685">
        <v>2</v>
      </c>
      <c r="F56" s="685">
        <v>3</v>
      </c>
      <c r="G56" s="685">
        <v>4</v>
      </c>
      <c r="H56" s="685">
        <v>5</v>
      </c>
    </row>
    <row r="57" spans="1:8">
      <c r="B57" s="649" t="s">
        <v>747</v>
      </c>
      <c r="C57" s="684">
        <f>C56</f>
        <v>-101940</v>
      </c>
      <c r="D57" s="680">
        <f>D53+D52</f>
        <v>39102.182723218975</v>
      </c>
      <c r="E57" s="680">
        <f>E53+E52</f>
        <v>39102.182723218975</v>
      </c>
      <c r="F57" s="680">
        <f>F53+F52</f>
        <v>39102.182723218975</v>
      </c>
      <c r="G57" s="680">
        <f>G53+G52</f>
        <v>39102.182723218975</v>
      </c>
      <c r="H57" s="680">
        <f>H53+H52+H54+H55</f>
        <v>93742.022723218979</v>
      </c>
    </row>
    <row r="58" spans="1:8">
      <c r="B58" s="649" t="s">
        <v>748</v>
      </c>
      <c r="C58" s="684">
        <f>C57</f>
        <v>-101940</v>
      </c>
      <c r="D58" s="680">
        <f>D57/(1+$F$30)^D56</f>
        <v>32376.247443796088</v>
      </c>
      <c r="E58" s="680">
        <f>E57/(1+$F$30)^E56</f>
        <v>26807.234930122617</v>
      </c>
      <c r="F58" s="680">
        <f>F57/(1+$F$30)^F56</f>
        <v>22196.143819517572</v>
      </c>
      <c r="G58" s="680">
        <f>G57/(1+$F$30)^G56</f>
        <v>18378.202815058277</v>
      </c>
      <c r="H58" s="680">
        <f>H57/(1+$F$30)^H56</f>
        <v>36480.591312353165</v>
      </c>
    </row>
    <row r="59" spans="1:8">
      <c r="B59" s="649" t="s">
        <v>749</v>
      </c>
      <c r="C59" s="684">
        <f>C58</f>
        <v>-101940</v>
      </c>
      <c r="D59" s="680">
        <f>C59+D58</f>
        <v>-69563.752556203908</v>
      </c>
      <c r="E59" s="680">
        <f>D59+E58</f>
        <v>-42756.517626081288</v>
      </c>
      <c r="F59" s="680">
        <f>E59+F58</f>
        <v>-20560.373806563715</v>
      </c>
      <c r="G59" s="680">
        <f>F59+G58</f>
        <v>-2182.170991505438</v>
      </c>
      <c r="H59" s="680">
        <f>G59+H58</f>
        <v>34298.420320847727</v>
      </c>
    </row>
    <row r="60" spans="1:8">
      <c r="B60" s="686" t="s">
        <v>750</v>
      </c>
      <c r="C60" s="681">
        <f>C57+NPV(F30,D57:H57)</f>
        <v>34298.420320847741</v>
      </c>
      <c r="D60" s="662"/>
      <c r="F60" s="687"/>
      <c r="G60" s="687"/>
      <c r="H60" s="687"/>
    </row>
    <row r="61" spans="1:8">
      <c r="B61" s="686" t="s">
        <v>751</v>
      </c>
      <c r="C61" s="688">
        <f>IRR(C57:H57)</f>
        <v>0.33567269436325065</v>
      </c>
      <c r="F61" s="687"/>
      <c r="G61" s="687"/>
      <c r="H61" s="687"/>
    </row>
    <row r="62" spans="1:8">
      <c r="B62" s="686" t="s">
        <v>752</v>
      </c>
      <c r="C62" s="689">
        <f>G56+(-G59/H58)</f>
        <v>4.0598173141663549</v>
      </c>
    </row>
    <row r="64" spans="1:8" s="439" customFormat="1" ht="15.75">
      <c r="A64" s="678" t="s">
        <v>753</v>
      </c>
      <c r="B64" s="643"/>
    </row>
    <row r="65" spans="2:8" ht="12.75" customHeight="1">
      <c r="B65" s="938" t="s">
        <v>454</v>
      </c>
      <c r="C65" s="938" t="s">
        <v>640</v>
      </c>
      <c r="D65" s="940" t="s">
        <v>712</v>
      </c>
      <c r="E65" s="941"/>
      <c r="F65" s="941"/>
      <c r="G65" s="941"/>
      <c r="H65" s="942"/>
    </row>
    <row r="66" spans="2:8">
      <c r="B66" s="939"/>
      <c r="C66" s="939"/>
      <c r="D66" s="679">
        <v>1</v>
      </c>
      <c r="E66" s="646">
        <v>2</v>
      </c>
      <c r="F66" s="646">
        <v>3</v>
      </c>
      <c r="G66" s="646">
        <v>4</v>
      </c>
      <c r="H66" s="646">
        <v>5</v>
      </c>
    </row>
    <row r="67" spans="2:8">
      <c r="B67" s="647" t="s">
        <v>745</v>
      </c>
      <c r="C67" s="680"/>
      <c r="D67" s="681">
        <f>D46</f>
        <v>300000</v>
      </c>
      <c r="E67" s="681">
        <f>E46</f>
        <v>300000</v>
      </c>
      <c r="F67" s="681">
        <f>F46</f>
        <v>300000</v>
      </c>
      <c r="G67" s="681">
        <f>G46</f>
        <v>300000</v>
      </c>
      <c r="H67" s="681">
        <f>H46</f>
        <v>300000</v>
      </c>
    </row>
    <row r="68" spans="2:8">
      <c r="B68" s="664" t="s">
        <v>714</v>
      </c>
      <c r="C68" s="680"/>
      <c r="D68" s="681">
        <f t="shared" ref="D68:H70" si="0">D47</f>
        <v>165000</v>
      </c>
      <c r="E68" s="681">
        <f t="shared" si="0"/>
        <v>165000</v>
      </c>
      <c r="F68" s="681">
        <f t="shared" si="0"/>
        <v>165000</v>
      </c>
      <c r="G68" s="681">
        <f t="shared" si="0"/>
        <v>165000</v>
      </c>
      <c r="H68" s="681">
        <f t="shared" si="0"/>
        <v>165000</v>
      </c>
    </row>
    <row r="69" spans="2:8">
      <c r="B69" s="664" t="s">
        <v>715</v>
      </c>
      <c r="C69" s="680"/>
      <c r="D69" s="681">
        <f t="shared" si="0"/>
        <v>85939.967999999993</v>
      </c>
      <c r="E69" s="681">
        <f t="shared" si="0"/>
        <v>85939.967999999993</v>
      </c>
      <c r="F69" s="681">
        <f t="shared" si="0"/>
        <v>85939.967999999993</v>
      </c>
      <c r="G69" s="681">
        <f t="shared" si="0"/>
        <v>85939.967999999993</v>
      </c>
      <c r="H69" s="681">
        <f t="shared" si="0"/>
        <v>85939.967999999993</v>
      </c>
    </row>
    <row r="70" spans="2:8">
      <c r="B70" s="664" t="s">
        <v>746</v>
      </c>
      <c r="C70" s="680"/>
      <c r="D70" s="681">
        <f t="shared" si="0"/>
        <v>9460.0319999999992</v>
      </c>
      <c r="E70" s="681">
        <f t="shared" si="0"/>
        <v>9460.0319999999992</v>
      </c>
      <c r="F70" s="681">
        <f t="shared" si="0"/>
        <v>9460.0319999999992</v>
      </c>
      <c r="G70" s="681">
        <f t="shared" si="0"/>
        <v>9460.0319999999992</v>
      </c>
      <c r="H70" s="681">
        <f t="shared" si="0"/>
        <v>9460.0319999999992</v>
      </c>
    </row>
    <row r="71" spans="2:8">
      <c r="B71" s="682" t="s">
        <v>672</v>
      </c>
      <c r="C71" s="683"/>
      <c r="D71" s="683">
        <f>D67-D68-D69-D70</f>
        <v>39600.000000000007</v>
      </c>
      <c r="E71" s="683">
        <f>E67-E68-E69-E70</f>
        <v>39600.000000000007</v>
      </c>
      <c r="F71" s="683">
        <f>F67-F68-F69-F70</f>
        <v>39600.000000000007</v>
      </c>
      <c r="G71" s="683">
        <f>G67-G68-G69-G70</f>
        <v>39600.000000000007</v>
      </c>
      <c r="H71" s="683">
        <f>H67-H68-H69-H70</f>
        <v>39600.000000000007</v>
      </c>
    </row>
    <row r="72" spans="2:8">
      <c r="B72" s="664" t="s">
        <v>754</v>
      </c>
      <c r="C72" s="680"/>
      <c r="D72" s="681">
        <f>C38</f>
        <v>17941.439999999999</v>
      </c>
      <c r="E72" s="681">
        <f>D38</f>
        <v>15623.299472276238</v>
      </c>
      <c r="F72" s="681">
        <f>E38</f>
        <v>12795.168028453252</v>
      </c>
      <c r="G72" s="681">
        <f>F38</f>
        <v>9344.8476669892079</v>
      </c>
      <c r="H72" s="681">
        <f>G38</f>
        <v>5135.4568260030737</v>
      </c>
    </row>
    <row r="73" spans="2:8">
      <c r="B73" s="682" t="s">
        <v>755</v>
      </c>
      <c r="C73" s="683"/>
      <c r="D73" s="683">
        <f>D71-D72</f>
        <v>21658.560000000009</v>
      </c>
      <c r="E73" s="683">
        <f>E71-E72</f>
        <v>23976.700527723769</v>
      </c>
      <c r="F73" s="683">
        <f>F71-F72</f>
        <v>26804.831971546755</v>
      </c>
      <c r="G73" s="683">
        <f>G71-G72</f>
        <v>30255.152333010799</v>
      </c>
      <c r="H73" s="683">
        <f>H71-H72</f>
        <v>34464.543173996935</v>
      </c>
    </row>
    <row r="74" spans="2:8">
      <c r="B74" s="664" t="s">
        <v>716</v>
      </c>
      <c r="C74" s="680"/>
      <c r="D74" s="681">
        <f>D73*проект!$C$22</f>
        <v>5446.279697780772</v>
      </c>
      <c r="E74" s="681">
        <f>E73*проект!$C$22</f>
        <v>6029.2012628684197</v>
      </c>
      <c r="F74" s="681">
        <f>F73*проект!$C$22</f>
        <v>6740.3655722753492</v>
      </c>
      <c r="G74" s="681">
        <f>G73*проект!$C$22</f>
        <v>7607.9860297518035</v>
      </c>
      <c r="H74" s="681">
        <f>H73*проект!$C$22</f>
        <v>8666.4829878730779</v>
      </c>
    </row>
    <row r="75" spans="2:8">
      <c r="B75" s="649" t="s">
        <v>500</v>
      </c>
      <c r="C75" s="684"/>
      <c r="D75" s="684">
        <f>D73-D74</f>
        <v>16212.280302219237</v>
      </c>
      <c r="E75" s="684">
        <f>E73-E74</f>
        <v>17947.499264855349</v>
      </c>
      <c r="F75" s="684">
        <f>F73-F74</f>
        <v>20064.466399271405</v>
      </c>
      <c r="G75" s="684">
        <f>G73-G74</f>
        <v>22647.166303258997</v>
      </c>
      <c r="H75" s="684">
        <f>H73-H74</f>
        <v>25798.060186123857</v>
      </c>
    </row>
    <row r="76" spans="2:8">
      <c r="B76" s="647" t="s">
        <v>289</v>
      </c>
      <c r="C76" s="680"/>
      <c r="D76" s="681">
        <f>D70</f>
        <v>9460.0319999999992</v>
      </c>
      <c r="E76" s="681">
        <f>E70</f>
        <v>9460.0319999999992</v>
      </c>
      <c r="F76" s="681">
        <f>F70</f>
        <v>9460.0319999999992</v>
      </c>
      <c r="G76" s="681">
        <f>G70</f>
        <v>9460.0319999999992</v>
      </c>
      <c r="H76" s="681">
        <f>H70</f>
        <v>9460.0319999999992</v>
      </c>
    </row>
    <row r="77" spans="2:8">
      <c r="B77" s="647" t="s">
        <v>756</v>
      </c>
      <c r="C77" s="680"/>
      <c r="D77" s="681">
        <f>C37</f>
        <v>10537.002398744364</v>
      </c>
      <c r="E77" s="681">
        <f>D37</f>
        <v>12855.142926468125</v>
      </c>
      <c r="F77" s="681">
        <f>E37</f>
        <v>15683.27437029111</v>
      </c>
      <c r="G77" s="681">
        <f>F37</f>
        <v>19133.594731755154</v>
      </c>
      <c r="H77" s="681">
        <f>G37</f>
        <v>23342.985572741287</v>
      </c>
    </row>
    <row r="78" spans="2:8">
      <c r="B78" s="647" t="s">
        <v>717</v>
      </c>
      <c r="C78" s="680"/>
      <c r="D78" s="680"/>
      <c r="E78" s="680"/>
      <c r="F78" s="680"/>
      <c r="G78" s="680"/>
      <c r="H78" s="681">
        <f>C23</f>
        <v>11825.04</v>
      </c>
    </row>
    <row r="79" spans="2:8">
      <c r="B79" s="647" t="s">
        <v>718</v>
      </c>
      <c r="C79" s="680"/>
      <c r="D79" s="680"/>
      <c r="E79" s="680"/>
      <c r="F79" s="680"/>
      <c r="G79" s="680"/>
      <c r="H79" s="681">
        <f>C4</f>
        <v>42814.799999999996</v>
      </c>
    </row>
    <row r="80" spans="2:8">
      <c r="B80" s="647" t="s">
        <v>640</v>
      </c>
      <c r="C80" s="681">
        <f>C81</f>
        <v>-20387.999999999996</v>
      </c>
      <c r="D80" s="680">
        <v>1</v>
      </c>
      <c r="E80" s="680">
        <v>2</v>
      </c>
      <c r="F80" s="680">
        <v>3</v>
      </c>
      <c r="G80" s="680">
        <v>4</v>
      </c>
      <c r="H80" s="680">
        <v>5</v>
      </c>
    </row>
    <row r="81" spans="2:8">
      <c r="B81" s="649" t="s">
        <v>747</v>
      </c>
      <c r="C81" s="684">
        <f>C28*-1</f>
        <v>-20387.999999999996</v>
      </c>
      <c r="D81" s="684">
        <f>SUM(D75+D76-D77)</f>
        <v>15135.309903474874</v>
      </c>
      <c r="E81" s="684">
        <f>SUM(E75+E76-E77)</f>
        <v>14552.388338387223</v>
      </c>
      <c r="F81" s="684">
        <f>SUM(F75+F76-F77)</f>
        <v>13841.224028980294</v>
      </c>
      <c r="G81" s="684">
        <f>SUM(G75+G76-G77)</f>
        <v>12973.603571503842</v>
      </c>
      <c r="H81" s="684">
        <f>SUM(H75+H76-H77)+H78+H79</f>
        <v>66554.946613382577</v>
      </c>
    </row>
    <row r="82" spans="2:8">
      <c r="B82" s="649" t="s">
        <v>748</v>
      </c>
      <c r="C82" s="684">
        <f>C81</f>
        <v>-20387.999999999996</v>
      </c>
      <c r="D82" s="680">
        <f>D81/(1+$F$30)^D80</f>
        <v>12531.897312281297</v>
      </c>
      <c r="E82" s="680">
        <f>E81/(1+$F$30)^E80</f>
        <v>9976.662830892943</v>
      </c>
      <c r="F82" s="680">
        <f>F81/(1+$F$30)^F80</f>
        <v>7856.8964131759312</v>
      </c>
      <c r="G82" s="680">
        <f>G81/(1+$F$30)^G80</f>
        <v>6097.6523834225954</v>
      </c>
      <c r="H82" s="680">
        <f>H81/(1+$F$30)^H80</f>
        <v>25900.484507221012</v>
      </c>
    </row>
    <row r="83" spans="2:8">
      <c r="B83" s="649" t="s">
        <v>749</v>
      </c>
      <c r="C83" s="684">
        <f>C82</f>
        <v>-20387.999999999996</v>
      </c>
      <c r="D83" s="680">
        <f>C83+D82</f>
        <v>-7856.1026877186996</v>
      </c>
      <c r="E83" s="680">
        <f>D83+E82</f>
        <v>2120.5601431742434</v>
      </c>
      <c r="F83" s="680">
        <f>E83+F82</f>
        <v>9977.4565563501747</v>
      </c>
      <c r="G83" s="680">
        <f>F83+G82</f>
        <v>16075.10893977277</v>
      </c>
      <c r="H83" s="680">
        <f>G83+H82</f>
        <v>41975.593446993778</v>
      </c>
    </row>
    <row r="84" spans="2:8">
      <c r="B84" s="686" t="s">
        <v>750</v>
      </c>
      <c r="C84" s="681">
        <f>C81+NPV(E28,D81:H81)</f>
        <v>20362.920528068196</v>
      </c>
      <c r="F84" s="687"/>
      <c r="G84" s="687"/>
      <c r="H84" s="687"/>
    </row>
    <row r="85" spans="2:8">
      <c r="B85" s="686" t="s">
        <v>751</v>
      </c>
      <c r="C85" s="688">
        <f>IRR(C81:H81)</f>
        <v>0.78658074242718645</v>
      </c>
      <c r="F85" s="687"/>
      <c r="G85" s="687"/>
      <c r="H85" s="687"/>
    </row>
    <row r="86" spans="2:8">
      <c r="B86" s="686" t="s">
        <v>752</v>
      </c>
      <c r="C86" s="689">
        <f>D80+(-D83/E82)</f>
        <v>1.7874479493676096</v>
      </c>
    </row>
  </sheetData>
  <mergeCells count="8">
    <mergeCell ref="B65:B66"/>
    <mergeCell ref="C65:C66"/>
    <mergeCell ref="D65:H65"/>
    <mergeCell ref="B34:B35"/>
    <mergeCell ref="C34:G34"/>
    <mergeCell ref="B44:B45"/>
    <mergeCell ref="C44:C45"/>
    <mergeCell ref="D44:H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topLeftCell="A54" workbookViewId="0">
      <selection activeCell="H75" sqref="H75"/>
    </sheetView>
  </sheetViews>
  <sheetFormatPr defaultRowHeight="12.75"/>
  <cols>
    <col min="1" max="1" width="9.140625" style="439"/>
    <col min="2" max="2" width="49.42578125" style="439" customWidth="1"/>
    <col min="3" max="3" width="12.7109375" style="439" bestFit="1" customWidth="1"/>
    <col min="4" max="4" width="12.140625" style="439" bestFit="1" customWidth="1"/>
    <col min="5" max="5" width="14.28515625" style="439" customWidth="1"/>
    <col min="6" max="6" width="13" style="439" customWidth="1"/>
    <col min="7" max="257" width="9.140625" style="439"/>
    <col min="258" max="258" width="49.42578125" style="439" customWidth="1"/>
    <col min="259" max="259" width="12.7109375" style="439" bestFit="1" customWidth="1"/>
    <col min="260" max="260" width="12.140625" style="439" bestFit="1" customWidth="1"/>
    <col min="261" max="261" width="11.140625" style="439" bestFit="1" customWidth="1"/>
    <col min="262" max="262" width="12.140625" style="439" bestFit="1" customWidth="1"/>
    <col min="263" max="513" width="9.140625" style="439"/>
    <col min="514" max="514" width="49.42578125" style="439" customWidth="1"/>
    <col min="515" max="515" width="12.7109375" style="439" bestFit="1" customWidth="1"/>
    <col min="516" max="516" width="12.140625" style="439" bestFit="1" customWidth="1"/>
    <col min="517" max="517" width="11.140625" style="439" bestFit="1" customWidth="1"/>
    <col min="518" max="518" width="12.140625" style="439" bestFit="1" customWidth="1"/>
    <col min="519" max="769" width="9.140625" style="439"/>
    <col min="770" max="770" width="49.42578125" style="439" customWidth="1"/>
    <col min="771" max="771" width="12.7109375" style="439" bestFit="1" customWidth="1"/>
    <col min="772" max="772" width="12.140625" style="439" bestFit="1" customWidth="1"/>
    <col min="773" max="773" width="11.140625" style="439" bestFit="1" customWidth="1"/>
    <col min="774" max="774" width="12.140625" style="439" bestFit="1" customWidth="1"/>
    <col min="775" max="1025" width="9.140625" style="439"/>
    <col min="1026" max="1026" width="49.42578125" style="439" customWidth="1"/>
    <col min="1027" max="1027" width="12.7109375" style="439" bestFit="1" customWidth="1"/>
    <col min="1028" max="1028" width="12.140625" style="439" bestFit="1" customWidth="1"/>
    <col min="1029" max="1029" width="11.140625" style="439" bestFit="1" customWidth="1"/>
    <col min="1030" max="1030" width="12.140625" style="439" bestFit="1" customWidth="1"/>
    <col min="1031" max="1281" width="9.140625" style="439"/>
    <col min="1282" max="1282" width="49.42578125" style="439" customWidth="1"/>
    <col min="1283" max="1283" width="12.7109375" style="439" bestFit="1" customWidth="1"/>
    <col min="1284" max="1284" width="12.140625" style="439" bestFit="1" customWidth="1"/>
    <col min="1285" max="1285" width="11.140625" style="439" bestFit="1" customWidth="1"/>
    <col min="1286" max="1286" width="12.140625" style="439" bestFit="1" customWidth="1"/>
    <col min="1287" max="1537" width="9.140625" style="439"/>
    <col min="1538" max="1538" width="49.42578125" style="439" customWidth="1"/>
    <col min="1539" max="1539" width="12.7109375" style="439" bestFit="1" customWidth="1"/>
    <col min="1540" max="1540" width="12.140625" style="439" bestFit="1" customWidth="1"/>
    <col min="1541" max="1541" width="11.140625" style="439" bestFit="1" customWidth="1"/>
    <col min="1542" max="1542" width="12.140625" style="439" bestFit="1" customWidth="1"/>
    <col min="1543" max="1793" width="9.140625" style="439"/>
    <col min="1794" max="1794" width="49.42578125" style="439" customWidth="1"/>
    <col min="1795" max="1795" width="12.7109375" style="439" bestFit="1" customWidth="1"/>
    <col min="1796" max="1796" width="12.140625" style="439" bestFit="1" customWidth="1"/>
    <col min="1797" max="1797" width="11.140625" style="439" bestFit="1" customWidth="1"/>
    <col min="1798" max="1798" width="12.140625" style="439" bestFit="1" customWidth="1"/>
    <col min="1799" max="2049" width="9.140625" style="439"/>
    <col min="2050" max="2050" width="49.42578125" style="439" customWidth="1"/>
    <col min="2051" max="2051" width="12.7109375" style="439" bestFit="1" customWidth="1"/>
    <col min="2052" max="2052" width="12.140625" style="439" bestFit="1" customWidth="1"/>
    <col min="2053" max="2053" width="11.140625" style="439" bestFit="1" customWidth="1"/>
    <col min="2054" max="2054" width="12.140625" style="439" bestFit="1" customWidth="1"/>
    <col min="2055" max="2305" width="9.140625" style="439"/>
    <col min="2306" max="2306" width="49.42578125" style="439" customWidth="1"/>
    <col min="2307" max="2307" width="12.7109375" style="439" bestFit="1" customWidth="1"/>
    <col min="2308" max="2308" width="12.140625" style="439" bestFit="1" customWidth="1"/>
    <col min="2309" max="2309" width="11.140625" style="439" bestFit="1" customWidth="1"/>
    <col min="2310" max="2310" width="12.140625" style="439" bestFit="1" customWidth="1"/>
    <col min="2311" max="2561" width="9.140625" style="439"/>
    <col min="2562" max="2562" width="49.42578125" style="439" customWidth="1"/>
    <col min="2563" max="2563" width="12.7109375" style="439" bestFit="1" customWidth="1"/>
    <col min="2564" max="2564" width="12.140625" style="439" bestFit="1" customWidth="1"/>
    <col min="2565" max="2565" width="11.140625" style="439" bestFit="1" customWidth="1"/>
    <col min="2566" max="2566" width="12.140625" style="439" bestFit="1" customWidth="1"/>
    <col min="2567" max="2817" width="9.140625" style="439"/>
    <col min="2818" max="2818" width="49.42578125" style="439" customWidth="1"/>
    <col min="2819" max="2819" width="12.7109375" style="439" bestFit="1" customWidth="1"/>
    <col min="2820" max="2820" width="12.140625" style="439" bestFit="1" customWidth="1"/>
    <col min="2821" max="2821" width="11.140625" style="439" bestFit="1" customWidth="1"/>
    <col min="2822" max="2822" width="12.140625" style="439" bestFit="1" customWidth="1"/>
    <col min="2823" max="3073" width="9.140625" style="439"/>
    <col min="3074" max="3074" width="49.42578125" style="439" customWidth="1"/>
    <col min="3075" max="3075" width="12.7109375" style="439" bestFit="1" customWidth="1"/>
    <col min="3076" max="3076" width="12.140625" style="439" bestFit="1" customWidth="1"/>
    <col min="3077" max="3077" width="11.140625" style="439" bestFit="1" customWidth="1"/>
    <col min="3078" max="3078" width="12.140625" style="439" bestFit="1" customWidth="1"/>
    <col min="3079" max="3329" width="9.140625" style="439"/>
    <col min="3330" max="3330" width="49.42578125" style="439" customWidth="1"/>
    <col min="3331" max="3331" width="12.7109375" style="439" bestFit="1" customWidth="1"/>
    <col min="3332" max="3332" width="12.140625" style="439" bestFit="1" customWidth="1"/>
    <col min="3333" max="3333" width="11.140625" style="439" bestFit="1" customWidth="1"/>
    <col min="3334" max="3334" width="12.140625" style="439" bestFit="1" customWidth="1"/>
    <col min="3335" max="3585" width="9.140625" style="439"/>
    <col min="3586" max="3586" width="49.42578125" style="439" customWidth="1"/>
    <col min="3587" max="3587" width="12.7109375" style="439" bestFit="1" customWidth="1"/>
    <col min="3588" max="3588" width="12.140625" style="439" bestFit="1" customWidth="1"/>
    <col min="3589" max="3589" width="11.140625" style="439" bestFit="1" customWidth="1"/>
    <col min="3590" max="3590" width="12.140625" style="439" bestFit="1" customWidth="1"/>
    <col min="3591" max="3841" width="9.140625" style="439"/>
    <col min="3842" max="3842" width="49.42578125" style="439" customWidth="1"/>
    <col min="3843" max="3843" width="12.7109375" style="439" bestFit="1" customWidth="1"/>
    <col min="3844" max="3844" width="12.140625" style="439" bestFit="1" customWidth="1"/>
    <col min="3845" max="3845" width="11.140625" style="439" bestFit="1" customWidth="1"/>
    <col min="3846" max="3846" width="12.140625" style="439" bestFit="1" customWidth="1"/>
    <col min="3847" max="4097" width="9.140625" style="439"/>
    <col min="4098" max="4098" width="49.42578125" style="439" customWidth="1"/>
    <col min="4099" max="4099" width="12.7109375" style="439" bestFit="1" customWidth="1"/>
    <col min="4100" max="4100" width="12.140625" style="439" bestFit="1" customWidth="1"/>
    <col min="4101" max="4101" width="11.140625" style="439" bestFit="1" customWidth="1"/>
    <col min="4102" max="4102" width="12.140625" style="439" bestFit="1" customWidth="1"/>
    <col min="4103" max="4353" width="9.140625" style="439"/>
    <col min="4354" max="4354" width="49.42578125" style="439" customWidth="1"/>
    <col min="4355" max="4355" width="12.7109375" style="439" bestFit="1" customWidth="1"/>
    <col min="4356" max="4356" width="12.140625" style="439" bestFit="1" customWidth="1"/>
    <col min="4357" max="4357" width="11.140625" style="439" bestFit="1" customWidth="1"/>
    <col min="4358" max="4358" width="12.140625" style="439" bestFit="1" customWidth="1"/>
    <col min="4359" max="4609" width="9.140625" style="439"/>
    <col min="4610" max="4610" width="49.42578125" style="439" customWidth="1"/>
    <col min="4611" max="4611" width="12.7109375" style="439" bestFit="1" customWidth="1"/>
    <col min="4612" max="4612" width="12.140625" style="439" bestFit="1" customWidth="1"/>
    <col min="4613" max="4613" width="11.140625" style="439" bestFit="1" customWidth="1"/>
    <col min="4614" max="4614" width="12.140625" style="439" bestFit="1" customWidth="1"/>
    <col min="4615" max="4865" width="9.140625" style="439"/>
    <col min="4866" max="4866" width="49.42578125" style="439" customWidth="1"/>
    <col min="4867" max="4867" width="12.7109375" style="439" bestFit="1" customWidth="1"/>
    <col min="4868" max="4868" width="12.140625" style="439" bestFit="1" customWidth="1"/>
    <col min="4869" max="4869" width="11.140625" style="439" bestFit="1" customWidth="1"/>
    <col min="4870" max="4870" width="12.140625" style="439" bestFit="1" customWidth="1"/>
    <col min="4871" max="5121" width="9.140625" style="439"/>
    <col min="5122" max="5122" width="49.42578125" style="439" customWidth="1"/>
    <col min="5123" max="5123" width="12.7109375" style="439" bestFit="1" customWidth="1"/>
    <col min="5124" max="5124" width="12.140625" style="439" bestFit="1" customWidth="1"/>
    <col min="5125" max="5125" width="11.140625" style="439" bestFit="1" customWidth="1"/>
    <col min="5126" max="5126" width="12.140625" style="439" bestFit="1" customWidth="1"/>
    <col min="5127" max="5377" width="9.140625" style="439"/>
    <col min="5378" max="5378" width="49.42578125" style="439" customWidth="1"/>
    <col min="5379" max="5379" width="12.7109375" style="439" bestFit="1" customWidth="1"/>
    <col min="5380" max="5380" width="12.140625" style="439" bestFit="1" customWidth="1"/>
    <col min="5381" max="5381" width="11.140625" style="439" bestFit="1" customWidth="1"/>
    <col min="5382" max="5382" width="12.140625" style="439" bestFit="1" customWidth="1"/>
    <col min="5383" max="5633" width="9.140625" style="439"/>
    <col min="5634" max="5634" width="49.42578125" style="439" customWidth="1"/>
    <col min="5635" max="5635" width="12.7109375" style="439" bestFit="1" customWidth="1"/>
    <col min="5636" max="5636" width="12.140625" style="439" bestFit="1" customWidth="1"/>
    <col min="5637" max="5637" width="11.140625" style="439" bestFit="1" customWidth="1"/>
    <col min="5638" max="5638" width="12.140625" style="439" bestFit="1" customWidth="1"/>
    <col min="5639" max="5889" width="9.140625" style="439"/>
    <col min="5890" max="5890" width="49.42578125" style="439" customWidth="1"/>
    <col min="5891" max="5891" width="12.7109375" style="439" bestFit="1" customWidth="1"/>
    <col min="5892" max="5892" width="12.140625" style="439" bestFit="1" customWidth="1"/>
    <col min="5893" max="5893" width="11.140625" style="439" bestFit="1" customWidth="1"/>
    <col min="5894" max="5894" width="12.140625" style="439" bestFit="1" customWidth="1"/>
    <col min="5895" max="6145" width="9.140625" style="439"/>
    <col min="6146" max="6146" width="49.42578125" style="439" customWidth="1"/>
    <col min="6147" max="6147" width="12.7109375" style="439" bestFit="1" customWidth="1"/>
    <col min="6148" max="6148" width="12.140625" style="439" bestFit="1" customWidth="1"/>
    <col min="6149" max="6149" width="11.140625" style="439" bestFit="1" customWidth="1"/>
    <col min="6150" max="6150" width="12.140625" style="439" bestFit="1" customWidth="1"/>
    <col min="6151" max="6401" width="9.140625" style="439"/>
    <col min="6402" max="6402" width="49.42578125" style="439" customWidth="1"/>
    <col min="6403" max="6403" width="12.7109375" style="439" bestFit="1" customWidth="1"/>
    <col min="6404" max="6404" width="12.140625" style="439" bestFit="1" customWidth="1"/>
    <col min="6405" max="6405" width="11.140625" style="439" bestFit="1" customWidth="1"/>
    <col min="6406" max="6406" width="12.140625" style="439" bestFit="1" customWidth="1"/>
    <col min="6407" max="6657" width="9.140625" style="439"/>
    <col min="6658" max="6658" width="49.42578125" style="439" customWidth="1"/>
    <col min="6659" max="6659" width="12.7109375" style="439" bestFit="1" customWidth="1"/>
    <col min="6660" max="6660" width="12.140625" style="439" bestFit="1" customWidth="1"/>
    <col min="6661" max="6661" width="11.140625" style="439" bestFit="1" customWidth="1"/>
    <col min="6662" max="6662" width="12.140625" style="439" bestFit="1" customWidth="1"/>
    <col min="6663" max="6913" width="9.140625" style="439"/>
    <col min="6914" max="6914" width="49.42578125" style="439" customWidth="1"/>
    <col min="6915" max="6915" width="12.7109375" style="439" bestFit="1" customWidth="1"/>
    <col min="6916" max="6916" width="12.140625" style="439" bestFit="1" customWidth="1"/>
    <col min="6917" max="6917" width="11.140625" style="439" bestFit="1" customWidth="1"/>
    <col min="6918" max="6918" width="12.140625" style="439" bestFit="1" customWidth="1"/>
    <col min="6919" max="7169" width="9.140625" style="439"/>
    <col min="7170" max="7170" width="49.42578125" style="439" customWidth="1"/>
    <col min="7171" max="7171" width="12.7109375" style="439" bestFit="1" customWidth="1"/>
    <col min="7172" max="7172" width="12.140625" style="439" bestFit="1" customWidth="1"/>
    <col min="7173" max="7173" width="11.140625" style="439" bestFit="1" customWidth="1"/>
    <col min="7174" max="7174" width="12.140625" style="439" bestFit="1" customWidth="1"/>
    <col min="7175" max="7425" width="9.140625" style="439"/>
    <col min="7426" max="7426" width="49.42578125" style="439" customWidth="1"/>
    <col min="7427" max="7427" width="12.7109375" style="439" bestFit="1" customWidth="1"/>
    <col min="7428" max="7428" width="12.140625" style="439" bestFit="1" customWidth="1"/>
    <col min="7429" max="7429" width="11.140625" style="439" bestFit="1" customWidth="1"/>
    <col min="7430" max="7430" width="12.140625" style="439" bestFit="1" customWidth="1"/>
    <col min="7431" max="7681" width="9.140625" style="439"/>
    <col min="7682" max="7682" width="49.42578125" style="439" customWidth="1"/>
    <col min="7683" max="7683" width="12.7109375" style="439" bestFit="1" customWidth="1"/>
    <col min="7684" max="7684" width="12.140625" style="439" bestFit="1" customWidth="1"/>
    <col min="7685" max="7685" width="11.140625" style="439" bestFit="1" customWidth="1"/>
    <col min="7686" max="7686" width="12.140625" style="439" bestFit="1" customWidth="1"/>
    <col min="7687" max="7937" width="9.140625" style="439"/>
    <col min="7938" max="7938" width="49.42578125" style="439" customWidth="1"/>
    <col min="7939" max="7939" width="12.7109375" style="439" bestFit="1" customWidth="1"/>
    <col min="7940" max="7940" width="12.140625" style="439" bestFit="1" customWidth="1"/>
    <col min="7941" max="7941" width="11.140625" style="439" bestFit="1" customWidth="1"/>
    <col min="7942" max="7942" width="12.140625" style="439" bestFit="1" customWidth="1"/>
    <col min="7943" max="8193" width="9.140625" style="439"/>
    <col min="8194" max="8194" width="49.42578125" style="439" customWidth="1"/>
    <col min="8195" max="8195" width="12.7109375" style="439" bestFit="1" customWidth="1"/>
    <col min="8196" max="8196" width="12.140625" style="439" bestFit="1" customWidth="1"/>
    <col min="8197" max="8197" width="11.140625" style="439" bestFit="1" customWidth="1"/>
    <col min="8198" max="8198" width="12.140625" style="439" bestFit="1" customWidth="1"/>
    <col min="8199" max="8449" width="9.140625" style="439"/>
    <col min="8450" max="8450" width="49.42578125" style="439" customWidth="1"/>
    <col min="8451" max="8451" width="12.7109375" style="439" bestFit="1" customWidth="1"/>
    <col min="8452" max="8452" width="12.140625" style="439" bestFit="1" customWidth="1"/>
    <col min="8453" max="8453" width="11.140625" style="439" bestFit="1" customWidth="1"/>
    <col min="8454" max="8454" width="12.140625" style="439" bestFit="1" customWidth="1"/>
    <col min="8455" max="8705" width="9.140625" style="439"/>
    <col min="8706" max="8706" width="49.42578125" style="439" customWidth="1"/>
    <col min="8707" max="8707" width="12.7109375" style="439" bestFit="1" customWidth="1"/>
    <col min="8708" max="8708" width="12.140625" style="439" bestFit="1" customWidth="1"/>
    <col min="8709" max="8709" width="11.140625" style="439" bestFit="1" customWidth="1"/>
    <col min="8710" max="8710" width="12.140625" style="439" bestFit="1" customWidth="1"/>
    <col min="8711" max="8961" width="9.140625" style="439"/>
    <col min="8962" max="8962" width="49.42578125" style="439" customWidth="1"/>
    <col min="8963" max="8963" width="12.7109375" style="439" bestFit="1" customWidth="1"/>
    <col min="8964" max="8964" width="12.140625" style="439" bestFit="1" customWidth="1"/>
    <col min="8965" max="8965" width="11.140625" style="439" bestFit="1" customWidth="1"/>
    <col min="8966" max="8966" width="12.140625" style="439" bestFit="1" customWidth="1"/>
    <col min="8967" max="9217" width="9.140625" style="439"/>
    <col min="9218" max="9218" width="49.42578125" style="439" customWidth="1"/>
    <col min="9219" max="9219" width="12.7109375" style="439" bestFit="1" customWidth="1"/>
    <col min="9220" max="9220" width="12.140625" style="439" bestFit="1" customWidth="1"/>
    <col min="9221" max="9221" width="11.140625" style="439" bestFit="1" customWidth="1"/>
    <col min="9222" max="9222" width="12.140625" style="439" bestFit="1" customWidth="1"/>
    <col min="9223" max="9473" width="9.140625" style="439"/>
    <col min="9474" max="9474" width="49.42578125" style="439" customWidth="1"/>
    <col min="9475" max="9475" width="12.7109375" style="439" bestFit="1" customWidth="1"/>
    <col min="9476" max="9476" width="12.140625" style="439" bestFit="1" customWidth="1"/>
    <col min="9477" max="9477" width="11.140625" style="439" bestFit="1" customWidth="1"/>
    <col min="9478" max="9478" width="12.140625" style="439" bestFit="1" customWidth="1"/>
    <col min="9479" max="9729" width="9.140625" style="439"/>
    <col min="9730" max="9730" width="49.42578125" style="439" customWidth="1"/>
    <col min="9731" max="9731" width="12.7109375" style="439" bestFit="1" customWidth="1"/>
    <col min="9732" max="9732" width="12.140625" style="439" bestFit="1" customWidth="1"/>
    <col min="9733" max="9733" width="11.140625" style="439" bestFit="1" customWidth="1"/>
    <col min="9734" max="9734" width="12.140625" style="439" bestFit="1" customWidth="1"/>
    <col min="9735" max="9985" width="9.140625" style="439"/>
    <col min="9986" max="9986" width="49.42578125" style="439" customWidth="1"/>
    <col min="9987" max="9987" width="12.7109375" style="439" bestFit="1" customWidth="1"/>
    <col min="9988" max="9988" width="12.140625" style="439" bestFit="1" customWidth="1"/>
    <col min="9989" max="9989" width="11.140625" style="439" bestFit="1" customWidth="1"/>
    <col min="9990" max="9990" width="12.140625" style="439" bestFit="1" customWidth="1"/>
    <col min="9991" max="10241" width="9.140625" style="439"/>
    <col min="10242" max="10242" width="49.42578125" style="439" customWidth="1"/>
    <col min="10243" max="10243" width="12.7109375" style="439" bestFit="1" customWidth="1"/>
    <col min="10244" max="10244" width="12.140625" style="439" bestFit="1" customWidth="1"/>
    <col min="10245" max="10245" width="11.140625" style="439" bestFit="1" customWidth="1"/>
    <col min="10246" max="10246" width="12.140625" style="439" bestFit="1" customWidth="1"/>
    <col min="10247" max="10497" width="9.140625" style="439"/>
    <col min="10498" max="10498" width="49.42578125" style="439" customWidth="1"/>
    <col min="10499" max="10499" width="12.7109375" style="439" bestFit="1" customWidth="1"/>
    <col min="10500" max="10500" width="12.140625" style="439" bestFit="1" customWidth="1"/>
    <col min="10501" max="10501" width="11.140625" style="439" bestFit="1" customWidth="1"/>
    <col min="10502" max="10502" width="12.140625" style="439" bestFit="1" customWidth="1"/>
    <col min="10503" max="10753" width="9.140625" style="439"/>
    <col min="10754" max="10754" width="49.42578125" style="439" customWidth="1"/>
    <col min="10755" max="10755" width="12.7109375" style="439" bestFit="1" customWidth="1"/>
    <col min="10756" max="10756" width="12.140625" style="439" bestFit="1" customWidth="1"/>
    <col min="10757" max="10757" width="11.140625" style="439" bestFit="1" customWidth="1"/>
    <col min="10758" max="10758" width="12.140625" style="439" bestFit="1" customWidth="1"/>
    <col min="10759" max="11009" width="9.140625" style="439"/>
    <col min="11010" max="11010" width="49.42578125" style="439" customWidth="1"/>
    <col min="11011" max="11011" width="12.7109375" style="439" bestFit="1" customWidth="1"/>
    <col min="11012" max="11012" width="12.140625" style="439" bestFit="1" customWidth="1"/>
    <col min="11013" max="11013" width="11.140625" style="439" bestFit="1" customWidth="1"/>
    <col min="11014" max="11014" width="12.140625" style="439" bestFit="1" customWidth="1"/>
    <col min="11015" max="11265" width="9.140625" style="439"/>
    <col min="11266" max="11266" width="49.42578125" style="439" customWidth="1"/>
    <col min="11267" max="11267" width="12.7109375" style="439" bestFit="1" customWidth="1"/>
    <col min="11268" max="11268" width="12.140625" style="439" bestFit="1" customWidth="1"/>
    <col min="11269" max="11269" width="11.140625" style="439" bestFit="1" customWidth="1"/>
    <col min="11270" max="11270" width="12.140625" style="439" bestFit="1" customWidth="1"/>
    <col min="11271" max="11521" width="9.140625" style="439"/>
    <col min="11522" max="11522" width="49.42578125" style="439" customWidth="1"/>
    <col min="11523" max="11523" width="12.7109375" style="439" bestFit="1" customWidth="1"/>
    <col min="11524" max="11524" width="12.140625" style="439" bestFit="1" customWidth="1"/>
    <col min="11525" max="11525" width="11.140625" style="439" bestFit="1" customWidth="1"/>
    <col min="11526" max="11526" width="12.140625" style="439" bestFit="1" customWidth="1"/>
    <col min="11527" max="11777" width="9.140625" style="439"/>
    <col min="11778" max="11778" width="49.42578125" style="439" customWidth="1"/>
    <col min="11779" max="11779" width="12.7109375" style="439" bestFit="1" customWidth="1"/>
    <col min="11780" max="11780" width="12.140625" style="439" bestFit="1" customWidth="1"/>
    <col min="11781" max="11781" width="11.140625" style="439" bestFit="1" customWidth="1"/>
    <col min="11782" max="11782" width="12.140625" style="439" bestFit="1" customWidth="1"/>
    <col min="11783" max="12033" width="9.140625" style="439"/>
    <col min="12034" max="12034" width="49.42578125" style="439" customWidth="1"/>
    <col min="12035" max="12035" width="12.7109375" style="439" bestFit="1" customWidth="1"/>
    <col min="12036" max="12036" width="12.140625" style="439" bestFit="1" customWidth="1"/>
    <col min="12037" max="12037" width="11.140625" style="439" bestFit="1" customWidth="1"/>
    <col min="12038" max="12038" width="12.140625" style="439" bestFit="1" customWidth="1"/>
    <col min="12039" max="12289" width="9.140625" style="439"/>
    <col min="12290" max="12290" width="49.42578125" style="439" customWidth="1"/>
    <col min="12291" max="12291" width="12.7109375" style="439" bestFit="1" customWidth="1"/>
    <col min="12292" max="12292" width="12.140625" style="439" bestFit="1" customWidth="1"/>
    <col min="12293" max="12293" width="11.140625" style="439" bestFit="1" customWidth="1"/>
    <col min="12294" max="12294" width="12.140625" style="439" bestFit="1" customWidth="1"/>
    <col min="12295" max="12545" width="9.140625" style="439"/>
    <col min="12546" max="12546" width="49.42578125" style="439" customWidth="1"/>
    <col min="12547" max="12547" width="12.7109375" style="439" bestFit="1" customWidth="1"/>
    <col min="12548" max="12548" width="12.140625" style="439" bestFit="1" customWidth="1"/>
    <col min="12549" max="12549" width="11.140625" style="439" bestFit="1" customWidth="1"/>
    <col min="12550" max="12550" width="12.140625" style="439" bestFit="1" customWidth="1"/>
    <col min="12551" max="12801" width="9.140625" style="439"/>
    <col min="12802" max="12802" width="49.42578125" style="439" customWidth="1"/>
    <col min="12803" max="12803" width="12.7109375" style="439" bestFit="1" customWidth="1"/>
    <col min="12804" max="12804" width="12.140625" style="439" bestFit="1" customWidth="1"/>
    <col min="12805" max="12805" width="11.140625" style="439" bestFit="1" customWidth="1"/>
    <col min="12806" max="12806" width="12.140625" style="439" bestFit="1" customWidth="1"/>
    <col min="12807" max="13057" width="9.140625" style="439"/>
    <col min="13058" max="13058" width="49.42578125" style="439" customWidth="1"/>
    <col min="13059" max="13059" width="12.7109375" style="439" bestFit="1" customWidth="1"/>
    <col min="13060" max="13060" width="12.140625" style="439" bestFit="1" customWidth="1"/>
    <col min="13061" max="13061" width="11.140625" style="439" bestFit="1" customWidth="1"/>
    <col min="13062" max="13062" width="12.140625" style="439" bestFit="1" customWidth="1"/>
    <col min="13063" max="13313" width="9.140625" style="439"/>
    <col min="13314" max="13314" width="49.42578125" style="439" customWidth="1"/>
    <col min="13315" max="13315" width="12.7109375" style="439" bestFit="1" customWidth="1"/>
    <col min="13316" max="13316" width="12.140625" style="439" bestFit="1" customWidth="1"/>
    <col min="13317" max="13317" width="11.140625" style="439" bestFit="1" customWidth="1"/>
    <col min="13318" max="13318" width="12.140625" style="439" bestFit="1" customWidth="1"/>
    <col min="13319" max="13569" width="9.140625" style="439"/>
    <col min="13570" max="13570" width="49.42578125" style="439" customWidth="1"/>
    <col min="13571" max="13571" width="12.7109375" style="439" bestFit="1" customWidth="1"/>
    <col min="13572" max="13572" width="12.140625" style="439" bestFit="1" customWidth="1"/>
    <col min="13573" max="13573" width="11.140625" style="439" bestFit="1" customWidth="1"/>
    <col min="13574" max="13574" width="12.140625" style="439" bestFit="1" customWidth="1"/>
    <col min="13575" max="13825" width="9.140625" style="439"/>
    <col min="13826" max="13826" width="49.42578125" style="439" customWidth="1"/>
    <col min="13827" max="13827" width="12.7109375" style="439" bestFit="1" customWidth="1"/>
    <col min="13828" max="13828" width="12.140625" style="439" bestFit="1" customWidth="1"/>
    <col min="13829" max="13829" width="11.140625" style="439" bestFit="1" customWidth="1"/>
    <col min="13830" max="13830" width="12.140625" style="439" bestFit="1" customWidth="1"/>
    <col min="13831" max="14081" width="9.140625" style="439"/>
    <col min="14082" max="14082" width="49.42578125" style="439" customWidth="1"/>
    <col min="14083" max="14083" width="12.7109375" style="439" bestFit="1" customWidth="1"/>
    <col min="14084" max="14084" width="12.140625" style="439" bestFit="1" customWidth="1"/>
    <col min="14085" max="14085" width="11.140625" style="439" bestFit="1" customWidth="1"/>
    <col min="14086" max="14086" width="12.140625" style="439" bestFit="1" customWidth="1"/>
    <col min="14087" max="14337" width="9.140625" style="439"/>
    <col min="14338" max="14338" width="49.42578125" style="439" customWidth="1"/>
    <col min="14339" max="14339" width="12.7109375" style="439" bestFit="1" customWidth="1"/>
    <col min="14340" max="14340" width="12.140625" style="439" bestFit="1" customWidth="1"/>
    <col min="14341" max="14341" width="11.140625" style="439" bestFit="1" customWidth="1"/>
    <col min="14342" max="14342" width="12.140625" style="439" bestFit="1" customWidth="1"/>
    <col min="14343" max="14593" width="9.140625" style="439"/>
    <col min="14594" max="14594" width="49.42578125" style="439" customWidth="1"/>
    <col min="14595" max="14595" width="12.7109375" style="439" bestFit="1" customWidth="1"/>
    <col min="14596" max="14596" width="12.140625" style="439" bestFit="1" customWidth="1"/>
    <col min="14597" max="14597" width="11.140625" style="439" bestFit="1" customWidth="1"/>
    <col min="14598" max="14598" width="12.140625" style="439" bestFit="1" customWidth="1"/>
    <col min="14599" max="14849" width="9.140625" style="439"/>
    <col min="14850" max="14850" width="49.42578125" style="439" customWidth="1"/>
    <col min="14851" max="14851" width="12.7109375" style="439" bestFit="1" customWidth="1"/>
    <col min="14852" max="14852" width="12.140625" style="439" bestFit="1" customWidth="1"/>
    <col min="14853" max="14853" width="11.140625" style="439" bestFit="1" customWidth="1"/>
    <col min="14854" max="14854" width="12.140625" style="439" bestFit="1" customWidth="1"/>
    <col min="14855" max="15105" width="9.140625" style="439"/>
    <col min="15106" max="15106" width="49.42578125" style="439" customWidth="1"/>
    <col min="15107" max="15107" width="12.7109375" style="439" bestFit="1" customWidth="1"/>
    <col min="15108" max="15108" width="12.140625" style="439" bestFit="1" customWidth="1"/>
    <col min="15109" max="15109" width="11.140625" style="439" bestFit="1" customWidth="1"/>
    <col min="15110" max="15110" width="12.140625" style="439" bestFit="1" customWidth="1"/>
    <col min="15111" max="15361" width="9.140625" style="439"/>
    <col min="15362" max="15362" width="49.42578125" style="439" customWidth="1"/>
    <col min="15363" max="15363" width="12.7109375" style="439" bestFit="1" customWidth="1"/>
    <col min="15364" max="15364" width="12.140625" style="439" bestFit="1" customWidth="1"/>
    <col min="15365" max="15365" width="11.140625" style="439" bestFit="1" customWidth="1"/>
    <col min="15366" max="15366" width="12.140625" style="439" bestFit="1" customWidth="1"/>
    <col min="15367" max="15617" width="9.140625" style="439"/>
    <col min="15618" max="15618" width="49.42578125" style="439" customWidth="1"/>
    <col min="15619" max="15619" width="12.7109375" style="439" bestFit="1" customWidth="1"/>
    <col min="15620" max="15620" width="12.140625" style="439" bestFit="1" customWidth="1"/>
    <col min="15621" max="15621" width="11.140625" style="439" bestFit="1" customWidth="1"/>
    <col min="15622" max="15622" width="12.140625" style="439" bestFit="1" customWidth="1"/>
    <col min="15623" max="15873" width="9.140625" style="439"/>
    <col min="15874" max="15874" width="49.42578125" style="439" customWidth="1"/>
    <col min="15875" max="15875" width="12.7109375" style="439" bestFit="1" customWidth="1"/>
    <col min="15876" max="15876" width="12.140625" style="439" bestFit="1" customWidth="1"/>
    <col min="15877" max="15877" width="11.140625" style="439" bestFit="1" customWidth="1"/>
    <col min="15878" max="15878" width="12.140625" style="439" bestFit="1" customWidth="1"/>
    <col min="15879" max="16129" width="9.140625" style="439"/>
    <col min="16130" max="16130" width="49.42578125" style="439" customWidth="1"/>
    <col min="16131" max="16131" width="12.7109375" style="439" bestFit="1" customWidth="1"/>
    <col min="16132" max="16132" width="12.140625" style="439" bestFit="1" customWidth="1"/>
    <col min="16133" max="16133" width="11.140625" style="439" bestFit="1" customWidth="1"/>
    <col min="16134" max="16134" width="12.140625" style="439" bestFit="1" customWidth="1"/>
    <col min="16135" max="16384" width="9.140625" style="439"/>
  </cols>
  <sheetData>
    <row r="2" spans="2:4">
      <c r="B2" s="454" t="s">
        <v>757</v>
      </c>
    </row>
    <row r="4" spans="2:4" ht="19.5" customHeight="1">
      <c r="B4" s="690" t="s">
        <v>758</v>
      </c>
      <c r="C4" s="690" t="s">
        <v>759</v>
      </c>
    </row>
    <row r="5" spans="2:4" ht="15">
      <c r="B5" s="691" t="s">
        <v>760</v>
      </c>
      <c r="C5" s="692">
        <v>0</v>
      </c>
    </row>
    <row r="6" spans="2:4" ht="15">
      <c r="B6" s="691" t="s">
        <v>761</v>
      </c>
      <c r="C6" s="692" t="e">
        <f>#REF!/1000</f>
        <v>#REF!</v>
      </c>
    </row>
    <row r="7" spans="2:4" ht="15">
      <c r="B7" s="693" t="s">
        <v>762</v>
      </c>
      <c r="C7" s="694" t="e">
        <f>SUM(C5:C6)</f>
        <v>#REF!</v>
      </c>
    </row>
    <row r="8" spans="2:4" ht="15">
      <c r="B8" s="695" t="s">
        <v>763</v>
      </c>
      <c r="C8" s="696" t="e">
        <f>#REF!/1000</f>
        <v>#REF!</v>
      </c>
    </row>
    <row r="9" spans="2:4" ht="15">
      <c r="B9" s="695" t="s">
        <v>764</v>
      </c>
      <c r="C9" s="696" t="e">
        <f>C6-C8</f>
        <v>#REF!</v>
      </c>
    </row>
    <row r="10" spans="2:4" ht="15">
      <c r="B10" s="693" t="s">
        <v>765</v>
      </c>
      <c r="C10" s="694" t="e">
        <f>SUM(C8:C9)</f>
        <v>#REF!</v>
      </c>
    </row>
    <row r="11" spans="2:4" ht="15">
      <c r="B11" s="691" t="s">
        <v>766</v>
      </c>
      <c r="C11" s="697" t="e">
        <f>#REF!</f>
        <v>#REF!</v>
      </c>
    </row>
    <row r="12" spans="2:4" ht="15">
      <c r="B12" s="691" t="s">
        <v>767</v>
      </c>
      <c r="C12" s="697">
        <v>0.3</v>
      </c>
    </row>
    <row r="13" spans="2:4" ht="15">
      <c r="B13" s="693" t="s">
        <v>768</v>
      </c>
      <c r="C13" s="698">
        <f>проект!F71</f>
        <v>0.20774289210319544</v>
      </c>
    </row>
    <row r="14" spans="2:4">
      <c r="B14" s="691" t="s">
        <v>769</v>
      </c>
      <c r="C14" s="699">
        <v>3</v>
      </c>
      <c r="D14" s="439" t="s">
        <v>609</v>
      </c>
    </row>
    <row r="15" spans="2:4" ht="15">
      <c r="B15" s="691" t="s">
        <v>770</v>
      </c>
      <c r="C15" s="692">
        <v>0</v>
      </c>
    </row>
    <row r="16" spans="2:4">
      <c r="B16" s="691" t="s">
        <v>771</v>
      </c>
      <c r="C16" s="700">
        <f>('P&amp;L Monthly'!Z10-'P&amp;L Monthly'!Z13-'P&amp;L Monthly'!Z66)/'P&amp;L Monthly'!Z10</f>
        <v>0.16666666666666666</v>
      </c>
    </row>
    <row r="17" spans="2:6" ht="15">
      <c r="B17" s="691" t="s">
        <v>772</v>
      </c>
      <c r="C17" s="692">
        <f>'P&amp;L Monthly'!Z102/1000</f>
        <v>552.33333333333337</v>
      </c>
    </row>
    <row r="18" spans="2:6" ht="15">
      <c r="B18" s="691" t="s">
        <v>773</v>
      </c>
      <c r="C18" s="692">
        <v>0</v>
      </c>
      <c r="D18" s="701"/>
    </row>
    <row r="19" spans="2:6" ht="15">
      <c r="B19" s="691" t="s">
        <v>774</v>
      </c>
      <c r="C19" s="692">
        <v>0</v>
      </c>
    </row>
    <row r="20" spans="2:6" ht="15">
      <c r="B20" s="448"/>
      <c r="C20" s="702"/>
    </row>
    <row r="21" spans="2:6" ht="15">
      <c r="C21" s="703"/>
    </row>
    <row r="23" spans="2:6">
      <c r="B23" s="453" t="s">
        <v>775</v>
      </c>
    </row>
    <row r="24" spans="2:6">
      <c r="B24" s="704" t="s">
        <v>776</v>
      </c>
    </row>
    <row r="25" spans="2:6">
      <c r="B25" s="704"/>
    </row>
    <row r="26" spans="2:6">
      <c r="B26" s="948" t="s">
        <v>758</v>
      </c>
      <c r="C26" s="949" t="s">
        <v>777</v>
      </c>
      <c r="D26" s="949"/>
      <c r="E26" s="949"/>
      <c r="F26" s="949"/>
    </row>
    <row r="27" spans="2:6" ht="15">
      <c r="B27" s="948"/>
      <c r="C27" s="705">
        <v>2013</v>
      </c>
      <c r="D27" s="706">
        <v>1</v>
      </c>
      <c r="E27" s="706">
        <v>2</v>
      </c>
      <c r="F27" s="706">
        <v>3</v>
      </c>
    </row>
    <row r="28" spans="2:6">
      <c r="B28" s="691" t="s">
        <v>778</v>
      </c>
      <c r="C28" s="707">
        <f>$C$15</f>
        <v>0</v>
      </c>
      <c r="D28" s="707">
        <f>C28</f>
        <v>0</v>
      </c>
      <c r="E28" s="707">
        <f>D28</f>
        <v>0</v>
      </c>
      <c r="F28" s="707">
        <f>E28</f>
        <v>0</v>
      </c>
    </row>
    <row r="29" spans="2:6">
      <c r="B29" s="691" t="s">
        <v>779</v>
      </c>
      <c r="C29" s="707">
        <f>C28-C30</f>
        <v>0</v>
      </c>
      <c r="D29" s="707">
        <f>D28-D30</f>
        <v>0</v>
      </c>
      <c r="E29" s="707">
        <f>E28-E30</f>
        <v>0</v>
      </c>
      <c r="F29" s="707">
        <f>F28-F30</f>
        <v>0</v>
      </c>
    </row>
    <row r="30" spans="2:6">
      <c r="B30" s="693" t="s">
        <v>780</v>
      </c>
      <c r="C30" s="708">
        <f>C28*$C$16</f>
        <v>0</v>
      </c>
      <c r="D30" s="708">
        <f>D28*$C$16</f>
        <v>0</v>
      </c>
      <c r="E30" s="708">
        <f>E28*$C$16</f>
        <v>0</v>
      </c>
      <c r="F30" s="708">
        <f>F28*$C$16</f>
        <v>0</v>
      </c>
    </row>
    <row r="31" spans="2:6">
      <c r="B31" s="691" t="s">
        <v>781</v>
      </c>
      <c r="C31" s="707">
        <f>$C$18</f>
        <v>0</v>
      </c>
      <c r="D31" s="707">
        <f>$C$18</f>
        <v>0</v>
      </c>
      <c r="E31" s="707">
        <f>$C$18</f>
        <v>0</v>
      </c>
      <c r="F31" s="707">
        <f>$C$18</f>
        <v>0</v>
      </c>
    </row>
    <row r="32" spans="2:6">
      <c r="B32" s="693" t="s">
        <v>672</v>
      </c>
      <c r="C32" s="708">
        <f>C30-C31</f>
        <v>0</v>
      </c>
      <c r="D32" s="708">
        <f>D30-D31</f>
        <v>0</v>
      </c>
      <c r="E32" s="708">
        <f>E30-E31</f>
        <v>0</v>
      </c>
      <c r="F32" s="708">
        <f>F30-F31</f>
        <v>0</v>
      </c>
    </row>
    <row r="33" spans="2:7">
      <c r="B33" s="691" t="s">
        <v>782</v>
      </c>
      <c r="C33" s="707">
        <f>проект!E29</f>
        <v>4130.5176149999988</v>
      </c>
      <c r="D33" s="707">
        <f t="shared" ref="D33:F36" si="0">C33</f>
        <v>4130.5176149999988</v>
      </c>
      <c r="E33" s="707">
        <f t="shared" si="0"/>
        <v>4130.5176149999988</v>
      </c>
      <c r="F33" s="707">
        <f t="shared" si="0"/>
        <v>4130.5176149999988</v>
      </c>
    </row>
    <row r="34" spans="2:7">
      <c r="B34" s="691" t="s">
        <v>288</v>
      </c>
      <c r="C34" s="707">
        <f>(C32-C33)*проект!$C$22</f>
        <v>-1038.6634304358342</v>
      </c>
      <c r="D34" s="707">
        <f t="shared" si="0"/>
        <v>-1038.6634304358342</v>
      </c>
      <c r="E34" s="707">
        <f t="shared" si="0"/>
        <v>-1038.6634304358342</v>
      </c>
      <c r="F34" s="707">
        <f t="shared" si="0"/>
        <v>-1038.6634304358342</v>
      </c>
    </row>
    <row r="35" spans="2:7">
      <c r="B35" s="693" t="s">
        <v>500</v>
      </c>
      <c r="C35" s="708">
        <f>C32-C33-C34+(('[9]I p&amp;l '!C17-'[9]I p&amp;l '!C16)/1000)</f>
        <v>-2357.6678745641607</v>
      </c>
      <c r="D35" s="708">
        <f t="shared" si="0"/>
        <v>-2357.6678745641607</v>
      </c>
      <c r="E35" s="708">
        <f t="shared" si="0"/>
        <v>-2357.6678745641607</v>
      </c>
      <c r="F35" s="708">
        <f t="shared" si="0"/>
        <v>-2357.6678745641607</v>
      </c>
    </row>
    <row r="36" spans="2:7">
      <c r="B36" s="691" t="s">
        <v>783</v>
      </c>
      <c r="C36" s="707">
        <f>C19</f>
        <v>0</v>
      </c>
      <c r="D36" s="707">
        <f t="shared" si="0"/>
        <v>0</v>
      </c>
      <c r="E36" s="707">
        <f t="shared" si="0"/>
        <v>0</v>
      </c>
      <c r="F36" s="707">
        <f t="shared" si="0"/>
        <v>0</v>
      </c>
    </row>
    <row r="37" spans="2:7">
      <c r="B37" s="693" t="s">
        <v>747</v>
      </c>
      <c r="C37" s="708">
        <f>C35+C36</f>
        <v>-2357.6678745641607</v>
      </c>
      <c r="D37" s="708">
        <f>D35+D36</f>
        <v>-2357.6678745641607</v>
      </c>
      <c r="E37" s="708">
        <f>E35+E36</f>
        <v>-2357.6678745641607</v>
      </c>
      <c r="F37" s="708">
        <f>F35+F36</f>
        <v>-2357.6678745641607</v>
      </c>
    </row>
    <row r="38" spans="2:7">
      <c r="B38" s="448"/>
      <c r="C38" s="709"/>
      <c r="D38" s="709"/>
      <c r="E38" s="709"/>
      <c r="F38" s="709"/>
    </row>
    <row r="39" spans="2:7">
      <c r="B39" s="710" t="s">
        <v>784</v>
      </c>
      <c r="C39" s="709"/>
      <c r="D39" s="709"/>
      <c r="E39" s="709"/>
      <c r="F39" s="709"/>
    </row>
    <row r="40" spans="2:7">
      <c r="B40" s="644"/>
      <c r="C40" s="644"/>
      <c r="D40" s="644"/>
      <c r="E40" s="644"/>
      <c r="F40" s="644"/>
      <c r="G40" s="644"/>
    </row>
    <row r="41" spans="2:7" ht="15" customHeight="1">
      <c r="B41" s="950" t="s">
        <v>454</v>
      </c>
      <c r="C41" s="945" t="s">
        <v>712</v>
      </c>
      <c r="D41" s="946"/>
      <c r="E41" s="946"/>
    </row>
    <row r="42" spans="2:7">
      <c r="B42" s="951"/>
      <c r="C42" s="711">
        <v>2015</v>
      </c>
      <c r="D42" s="711">
        <v>2016</v>
      </c>
      <c r="E42" s="711">
        <v>2017</v>
      </c>
    </row>
    <row r="43" spans="2:7">
      <c r="B43" s="676" t="s">
        <v>739</v>
      </c>
      <c r="C43" s="677">
        <f>проект!C52</f>
        <v>81552</v>
      </c>
      <c r="D43" s="677" t="e">
        <f>C47</f>
        <v>#REF!</v>
      </c>
      <c r="E43" s="677" t="e">
        <f>D47</f>
        <v>#REF!</v>
      </c>
    </row>
    <row r="44" spans="2:7">
      <c r="B44" s="676" t="s">
        <v>740</v>
      </c>
      <c r="C44" s="677" t="e">
        <f>C46-C45</f>
        <v>#REF!</v>
      </c>
      <c r="D44" s="677" t="e">
        <f>D46-D45</f>
        <v>#REF!</v>
      </c>
      <c r="E44" s="677" t="e">
        <f>E46-E45</f>
        <v>#REF!</v>
      </c>
    </row>
    <row r="45" spans="2:7">
      <c r="B45" s="676" t="s">
        <v>741</v>
      </c>
      <c r="C45" s="677" t="e">
        <f>C43*$C$11</f>
        <v>#REF!</v>
      </c>
      <c r="D45" s="677" t="e">
        <f>D43*$C$11</f>
        <v>#REF!</v>
      </c>
      <c r="E45" s="677" t="e">
        <f>E43*$C$11</f>
        <v>#REF!</v>
      </c>
    </row>
    <row r="46" spans="2:7">
      <c r="B46" s="676" t="s">
        <v>742</v>
      </c>
      <c r="C46" s="677" t="e">
        <f>-PMT(C11,3,C8)</f>
        <v>#REF!</v>
      </c>
      <c r="D46" s="677" t="e">
        <f>C46</f>
        <v>#REF!</v>
      </c>
      <c r="E46" s="677" t="e">
        <f>D46</f>
        <v>#REF!</v>
      </c>
    </row>
    <row r="47" spans="2:7">
      <c r="B47" s="676" t="s">
        <v>743</v>
      </c>
      <c r="C47" s="677" t="e">
        <f>C43-C44</f>
        <v>#REF!</v>
      </c>
      <c r="D47" s="677" t="e">
        <f>D43-D44</f>
        <v>#REF!</v>
      </c>
      <c r="E47" s="677" t="e">
        <f>E43-E44</f>
        <v>#REF!</v>
      </c>
    </row>
    <row r="48" spans="2:7">
      <c r="B48" s="712"/>
      <c r="C48" s="712"/>
      <c r="D48" s="713"/>
      <c r="E48" s="713"/>
      <c r="F48" s="713"/>
    </row>
    <row r="49" spans="2:10">
      <c r="B49" s="712"/>
      <c r="C49" s="712"/>
      <c r="D49" s="714">
        <f>D50/100000</f>
        <v>1.1499999999999999</v>
      </c>
      <c r="E49" s="714">
        <f>E50/D50</f>
        <v>1.0695652173913044</v>
      </c>
      <c r="F49" s="714">
        <f>F50/E50</f>
        <v>1.0406504065040652</v>
      </c>
    </row>
    <row r="50" spans="2:10">
      <c r="B50" s="712"/>
      <c r="C50" s="712"/>
      <c r="D50" s="713">
        <v>115000</v>
      </c>
      <c r="E50" s="713">
        <v>123000</v>
      </c>
      <c r="F50" s="713">
        <v>128000</v>
      </c>
    </row>
    <row r="51" spans="2:10">
      <c r="B51" s="712"/>
      <c r="C51" s="712"/>
      <c r="D51" s="713">
        <f>SUM(D52:D53)</f>
        <v>8000</v>
      </c>
      <c r="E51" s="713">
        <f t="shared" ref="E51:F51" si="1">SUM(E52:E53)</f>
        <v>8000</v>
      </c>
      <c r="F51" s="713">
        <f t="shared" si="1"/>
        <v>8000</v>
      </c>
      <c r="G51" s="715">
        <f>D51/D50</f>
        <v>6.9565217391304349E-2</v>
      </c>
      <c r="H51" s="715">
        <f t="shared" ref="H51:I51" si="2">E51/E50</f>
        <v>6.5040650406504072E-2</v>
      </c>
      <c r="I51" s="715">
        <f t="shared" si="2"/>
        <v>6.25E-2</v>
      </c>
      <c r="J51" s="439" t="s">
        <v>785</v>
      </c>
    </row>
    <row r="52" spans="2:10">
      <c r="B52" s="453" t="s">
        <v>786</v>
      </c>
      <c r="D52" s="716">
        <v>8000</v>
      </c>
      <c r="E52" s="716">
        <v>8000</v>
      </c>
      <c r="F52" s="716">
        <v>8000</v>
      </c>
    </row>
    <row r="53" spans="2:10" ht="14.25" customHeight="1" thickBot="1">
      <c r="B53" s="717"/>
      <c r="C53" s="714"/>
      <c r="D53" s="707">
        <f>(D58-$C$58)/42</f>
        <v>0</v>
      </c>
      <c r="E53" s="707">
        <f t="shared" ref="E53:F53" si="3">(E58-$C$58)/42</f>
        <v>0</v>
      </c>
      <c r="F53" s="707">
        <f t="shared" si="3"/>
        <v>0</v>
      </c>
      <c r="G53" s="713"/>
      <c r="I53" s="521"/>
    </row>
    <row r="54" spans="2:10" ht="15">
      <c r="B54" s="718" t="s">
        <v>777</v>
      </c>
      <c r="C54" s="719">
        <v>0</v>
      </c>
      <c r="D54" s="720">
        <v>2015</v>
      </c>
      <c r="E54" s="720">
        <v>2016</v>
      </c>
      <c r="F54" s="721">
        <v>2017</v>
      </c>
      <c r="I54" s="521">
        <f>12000/28000</f>
        <v>0.42857142857142855</v>
      </c>
      <c r="J54" s="439" t="s">
        <v>787</v>
      </c>
    </row>
    <row r="55" spans="2:10" ht="13.5" thickBot="1">
      <c r="B55" s="722" t="s">
        <v>788</v>
      </c>
      <c r="C55" s="723"/>
      <c r="D55" s="724">
        <v>0.35</v>
      </c>
      <c r="E55" s="724">
        <v>0.3</v>
      </c>
      <c r="F55" s="725">
        <v>0.25</v>
      </c>
    </row>
    <row r="56" spans="2:10" ht="13.5" thickBot="1">
      <c r="B56" s="717"/>
      <c r="C56" s="714"/>
      <c r="D56" s="714"/>
      <c r="E56" s="714"/>
      <c r="F56" s="714"/>
      <c r="G56" s="713"/>
    </row>
    <row r="57" spans="2:10" ht="15">
      <c r="B57" s="718" t="s">
        <v>777</v>
      </c>
      <c r="C57" s="726">
        <v>2013</v>
      </c>
      <c r="D57" s="720">
        <v>2015</v>
      </c>
      <c r="E57" s="720">
        <v>2016</v>
      </c>
      <c r="F57" s="721">
        <v>2017</v>
      </c>
    </row>
    <row r="58" spans="2:10">
      <c r="B58" s="727" t="s">
        <v>778</v>
      </c>
      <c r="C58" s="707">
        <f t="shared" ref="C58:C63" si="4">C28</f>
        <v>0</v>
      </c>
      <c r="D58" s="707">
        <f>D28*D55+D28</f>
        <v>0</v>
      </c>
      <c r="E58" s="707">
        <f>D58*E55+D58</f>
        <v>0</v>
      </c>
      <c r="F58" s="728">
        <f>E58*F55+E58</f>
        <v>0</v>
      </c>
    </row>
    <row r="59" spans="2:10">
      <c r="B59" s="727" t="s">
        <v>779</v>
      </c>
      <c r="C59" s="707">
        <f t="shared" si="4"/>
        <v>0</v>
      </c>
      <c r="D59" s="707">
        <f>D58-D60</f>
        <v>0</v>
      </c>
      <c r="E59" s="707">
        <f>E58-E60</f>
        <v>0</v>
      </c>
      <c r="F59" s="728">
        <f>F58-F60</f>
        <v>0</v>
      </c>
    </row>
    <row r="60" spans="2:10">
      <c r="B60" s="727" t="s">
        <v>780</v>
      </c>
      <c r="C60" s="707">
        <f t="shared" si="4"/>
        <v>0</v>
      </c>
      <c r="D60" s="707">
        <f>D58*$C$16</f>
        <v>0</v>
      </c>
      <c r="E60" s="707">
        <f>E58*$C$16</f>
        <v>0</v>
      </c>
      <c r="F60" s="728">
        <f>F58*$C$16</f>
        <v>0</v>
      </c>
    </row>
    <row r="61" spans="2:10">
      <c r="B61" s="727" t="s">
        <v>781</v>
      </c>
      <c r="C61" s="707">
        <f>C31</f>
        <v>0</v>
      </c>
      <c r="D61" s="707">
        <f>$C$18+$C$5/$C$14</f>
        <v>0</v>
      </c>
      <c r="E61" s="707">
        <f>$C$18+$C$5/$C$14</f>
        <v>0</v>
      </c>
      <c r="F61" s="728">
        <f>$C$18+$C$5/$C$14</f>
        <v>0</v>
      </c>
    </row>
    <row r="62" spans="2:10">
      <c r="B62" s="727" t="s">
        <v>672</v>
      </c>
      <c r="C62" s="707">
        <f t="shared" si="4"/>
        <v>0</v>
      </c>
      <c r="D62" s="707">
        <f>D60-D61</f>
        <v>0</v>
      </c>
      <c r="E62" s="707">
        <f>E60-E61</f>
        <v>0</v>
      </c>
      <c r="F62" s="728">
        <f>F60-F61</f>
        <v>0</v>
      </c>
    </row>
    <row r="63" spans="2:10">
      <c r="B63" s="727" t="str">
        <f>B33</f>
        <v>Проценты по кредиту</v>
      </c>
      <c r="C63" s="707">
        <f t="shared" si="4"/>
        <v>4130.5176149999988</v>
      </c>
      <c r="D63" s="707">
        <f>C63</f>
        <v>4130.5176149999988</v>
      </c>
      <c r="E63" s="707">
        <f>D63</f>
        <v>4130.5176149999988</v>
      </c>
      <c r="F63" s="728">
        <f>E63</f>
        <v>4130.5176149999988</v>
      </c>
    </row>
    <row r="64" spans="2:10">
      <c r="B64" s="727" t="s">
        <v>789</v>
      </c>
      <c r="C64" s="707"/>
      <c r="D64" s="707" t="e">
        <f>C45</f>
        <v>#REF!</v>
      </c>
      <c r="E64" s="707" t="e">
        <f>D45</f>
        <v>#REF!</v>
      </c>
      <c r="F64" s="728" t="e">
        <f>E45</f>
        <v>#REF!</v>
      </c>
    </row>
    <row r="65" spans="2:6">
      <c r="B65" s="727" t="s">
        <v>288</v>
      </c>
      <c r="C65" s="707">
        <f>C34</f>
        <v>-1038.6634304358342</v>
      </c>
      <c r="D65" s="707">
        <f>(D62-D63)*проект!$C$22</f>
        <v>-1038.6634304358342</v>
      </c>
      <c r="E65" s="707">
        <f>(E62-E63)*проект!$C$22</f>
        <v>-1038.6634304358342</v>
      </c>
      <c r="F65" s="728">
        <f>(F62-F63)*проект!$C$22</f>
        <v>-1038.6634304358342</v>
      </c>
    </row>
    <row r="66" spans="2:6">
      <c r="B66" s="729" t="s">
        <v>500</v>
      </c>
      <c r="C66" s="708">
        <f>C35</f>
        <v>-2357.6678745641607</v>
      </c>
      <c r="D66" s="708" t="e">
        <f>D62-D65-D63-D64</f>
        <v>#REF!</v>
      </c>
      <c r="E66" s="708" t="e">
        <f>E62-E65-E63-E64</f>
        <v>#REF!</v>
      </c>
      <c r="F66" s="730" t="e">
        <f>F62-F65-F63-F64</f>
        <v>#REF!</v>
      </c>
    </row>
    <row r="67" spans="2:6">
      <c r="B67" s="727" t="s">
        <v>783</v>
      </c>
      <c r="C67" s="707">
        <f>C36</f>
        <v>0</v>
      </c>
      <c r="D67" s="707" t="e">
        <f>$C$19+$C$6/$C$14</f>
        <v>#REF!</v>
      </c>
      <c r="E67" s="707" t="e">
        <f>$C$19+$C$6/$C$14</f>
        <v>#REF!</v>
      </c>
      <c r="F67" s="728" t="e">
        <f>$C$19+$C$6/$C$14</f>
        <v>#REF!</v>
      </c>
    </row>
    <row r="68" spans="2:6">
      <c r="B68" s="727" t="e">
        <f>#REF!</f>
        <v>#REF!</v>
      </c>
      <c r="C68" s="707"/>
      <c r="D68" s="707" t="e">
        <f>C44</f>
        <v>#REF!</v>
      </c>
      <c r="E68" s="707" t="e">
        <f>D44</f>
        <v>#REF!</v>
      </c>
      <c r="F68" s="728" t="e">
        <f>E44</f>
        <v>#REF!</v>
      </c>
    </row>
    <row r="69" spans="2:6">
      <c r="B69" s="727" t="s">
        <v>717</v>
      </c>
      <c r="C69" s="707"/>
      <c r="D69" s="707"/>
      <c r="E69" s="707"/>
      <c r="F69" s="728">
        <f>проект!C48</f>
        <v>11825.04</v>
      </c>
    </row>
    <row r="70" spans="2:6" ht="13.5" thickBot="1">
      <c r="B70" s="731" t="s">
        <v>747</v>
      </c>
      <c r="C70" s="732">
        <f>C37</f>
        <v>-2357.6678745641607</v>
      </c>
      <c r="D70" s="732" t="e">
        <f>D66+D67-D68</f>
        <v>#REF!</v>
      </c>
      <c r="E70" s="732" t="e">
        <f>E66+E67-E68</f>
        <v>#REF!</v>
      </c>
      <c r="F70" s="733" t="e">
        <f>F66+F67-F68</f>
        <v>#REF!</v>
      </c>
    </row>
    <row r="71" spans="2:6" ht="13.5" thickBot="1"/>
    <row r="72" spans="2:6">
      <c r="B72" s="718" t="str">
        <f>B57</f>
        <v>Годы</v>
      </c>
      <c r="C72" s="720">
        <f>0</f>
        <v>0</v>
      </c>
      <c r="D72" s="720">
        <v>1</v>
      </c>
      <c r="E72" s="720">
        <v>2</v>
      </c>
      <c r="F72" s="721">
        <v>3</v>
      </c>
    </row>
    <row r="73" spans="2:6" ht="15">
      <c r="B73" s="727" t="s">
        <v>790</v>
      </c>
      <c r="C73" s="734" t="e">
        <f>-C7</f>
        <v>#REF!</v>
      </c>
      <c r="D73" s="734" t="e">
        <f>D70-D37</f>
        <v>#REF!</v>
      </c>
      <c r="E73" s="734" t="e">
        <f>E70-E37</f>
        <v>#REF!</v>
      </c>
      <c r="F73" s="735" t="e">
        <f>F70-F37</f>
        <v>#REF!</v>
      </c>
    </row>
    <row r="74" spans="2:6" ht="15">
      <c r="B74" s="727" t="s">
        <v>791</v>
      </c>
      <c r="C74" s="734" t="e">
        <f>C73</f>
        <v>#REF!</v>
      </c>
      <c r="D74" s="734" t="e">
        <f>D73/(1+$C$13)^D72</f>
        <v>#REF!</v>
      </c>
      <c r="E74" s="734" t="e">
        <f>E73/(1+$C$13)^E72</f>
        <v>#REF!</v>
      </c>
      <c r="F74" s="735" t="e">
        <f>F73/(1+$C$13)^F72</f>
        <v>#REF!</v>
      </c>
    </row>
    <row r="75" spans="2:6" ht="15.75" thickBot="1">
      <c r="B75" s="722" t="s">
        <v>792</v>
      </c>
      <c r="C75" s="736" t="e">
        <f>C74</f>
        <v>#REF!</v>
      </c>
      <c r="D75" s="737" t="e">
        <f>C75+D74</f>
        <v>#REF!</v>
      </c>
      <c r="E75" s="737" t="e">
        <f>D75+E74</f>
        <v>#REF!</v>
      </c>
      <c r="F75" s="738" t="e">
        <f>E75+F74</f>
        <v>#REF!</v>
      </c>
    </row>
    <row r="76" spans="2:6" ht="13.5" thickBot="1"/>
    <row r="77" spans="2:6" ht="15">
      <c r="B77" s="439" t="s">
        <v>793</v>
      </c>
      <c r="C77" s="718" t="s">
        <v>724</v>
      </c>
      <c r="D77" s="739" t="e">
        <f>C73+NPV(C13,D73:F73)</f>
        <v>#REF!</v>
      </c>
      <c r="E77" s="740" t="e">
        <f>D77/C7</f>
        <v>#REF!</v>
      </c>
    </row>
    <row r="78" spans="2:6">
      <c r="C78" s="741" t="s">
        <v>725</v>
      </c>
      <c r="D78" s="742" t="e">
        <f>IRR(C73:F73)</f>
        <v>#VALUE!</v>
      </c>
      <c r="E78" s="743" t="e">
        <f>D78-C12</f>
        <v>#VALUE!</v>
      </c>
    </row>
    <row r="79" spans="2:6" ht="13.5" thickBot="1">
      <c r="C79" s="744" t="s">
        <v>723</v>
      </c>
      <c r="D79" s="745" t="e">
        <f>E72+(-E75/F74)</f>
        <v>#REF!</v>
      </c>
      <c r="E79" s="746" t="e">
        <f>2-D79</f>
        <v>#REF!</v>
      </c>
    </row>
  </sheetData>
  <mergeCells count="4">
    <mergeCell ref="B26:B27"/>
    <mergeCell ref="C26:F26"/>
    <mergeCell ref="B41:B42"/>
    <mergeCell ref="C41:E41"/>
  </mergeCells>
  <pageMargins left="0.75" right="0.75" top="1" bottom="1" header="0.5" footer="0.5"/>
  <pageSetup paperSize="9" orientation="portrait" horizontalDpi="96" verticalDpi="96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N11" sqref="N11"/>
    </sheetView>
  </sheetViews>
  <sheetFormatPr defaultColWidth="34.28515625" defaultRowHeight="11.25"/>
  <cols>
    <col min="1" max="1" width="36.42578125" style="747" bestFit="1" customWidth="1"/>
    <col min="2" max="2" width="12.42578125" style="747" bestFit="1" customWidth="1"/>
    <col min="3" max="3" width="4.7109375" style="747" customWidth="1"/>
    <col min="4" max="4" width="21" style="747" customWidth="1"/>
    <col min="5" max="5" width="11.28515625" style="747" customWidth="1"/>
    <col min="6" max="6" width="11.28515625" style="747" bestFit="1" customWidth="1"/>
    <col min="7" max="255" width="9.140625" style="747" customWidth="1"/>
    <col min="256" max="256" width="34.28515625" style="747"/>
    <col min="257" max="257" width="36.42578125" style="747" bestFit="1" customWidth="1"/>
    <col min="258" max="258" width="12.42578125" style="747" bestFit="1" customWidth="1"/>
    <col min="259" max="259" width="4.7109375" style="747" customWidth="1"/>
    <col min="260" max="260" width="21" style="747" customWidth="1"/>
    <col min="261" max="261" width="11.28515625" style="747" customWidth="1"/>
    <col min="262" max="262" width="11.28515625" style="747" bestFit="1" customWidth="1"/>
    <col min="263" max="511" width="9.140625" style="747" customWidth="1"/>
    <col min="512" max="512" width="34.28515625" style="747"/>
    <col min="513" max="513" width="36.42578125" style="747" bestFit="1" customWidth="1"/>
    <col min="514" max="514" width="12.42578125" style="747" bestFit="1" customWidth="1"/>
    <col min="515" max="515" width="4.7109375" style="747" customWidth="1"/>
    <col min="516" max="516" width="21" style="747" customWidth="1"/>
    <col min="517" max="517" width="11.28515625" style="747" customWidth="1"/>
    <col min="518" max="518" width="11.28515625" style="747" bestFit="1" customWidth="1"/>
    <col min="519" max="767" width="9.140625" style="747" customWidth="1"/>
    <col min="768" max="768" width="34.28515625" style="747"/>
    <col min="769" max="769" width="36.42578125" style="747" bestFit="1" customWidth="1"/>
    <col min="770" max="770" width="12.42578125" style="747" bestFit="1" customWidth="1"/>
    <col min="771" max="771" width="4.7109375" style="747" customWidth="1"/>
    <col min="772" max="772" width="21" style="747" customWidth="1"/>
    <col min="773" max="773" width="11.28515625" style="747" customWidth="1"/>
    <col min="774" max="774" width="11.28515625" style="747" bestFit="1" customWidth="1"/>
    <col min="775" max="1023" width="9.140625" style="747" customWidth="1"/>
    <col min="1024" max="1024" width="34.28515625" style="747"/>
    <col min="1025" max="1025" width="36.42578125" style="747" bestFit="1" customWidth="1"/>
    <col min="1026" max="1026" width="12.42578125" style="747" bestFit="1" customWidth="1"/>
    <col min="1027" max="1027" width="4.7109375" style="747" customWidth="1"/>
    <col min="1028" max="1028" width="21" style="747" customWidth="1"/>
    <col min="1029" max="1029" width="11.28515625" style="747" customWidth="1"/>
    <col min="1030" max="1030" width="11.28515625" style="747" bestFit="1" customWidth="1"/>
    <col min="1031" max="1279" width="9.140625" style="747" customWidth="1"/>
    <col min="1280" max="1280" width="34.28515625" style="747"/>
    <col min="1281" max="1281" width="36.42578125" style="747" bestFit="1" customWidth="1"/>
    <col min="1282" max="1282" width="12.42578125" style="747" bestFit="1" customWidth="1"/>
    <col min="1283" max="1283" width="4.7109375" style="747" customWidth="1"/>
    <col min="1284" max="1284" width="21" style="747" customWidth="1"/>
    <col min="1285" max="1285" width="11.28515625" style="747" customWidth="1"/>
    <col min="1286" max="1286" width="11.28515625" style="747" bestFit="1" customWidth="1"/>
    <col min="1287" max="1535" width="9.140625" style="747" customWidth="1"/>
    <col min="1536" max="1536" width="34.28515625" style="747"/>
    <col min="1537" max="1537" width="36.42578125" style="747" bestFit="1" customWidth="1"/>
    <col min="1538" max="1538" width="12.42578125" style="747" bestFit="1" customWidth="1"/>
    <col min="1539" max="1539" width="4.7109375" style="747" customWidth="1"/>
    <col min="1540" max="1540" width="21" style="747" customWidth="1"/>
    <col min="1541" max="1541" width="11.28515625" style="747" customWidth="1"/>
    <col min="1542" max="1542" width="11.28515625" style="747" bestFit="1" customWidth="1"/>
    <col min="1543" max="1791" width="9.140625" style="747" customWidth="1"/>
    <col min="1792" max="1792" width="34.28515625" style="747"/>
    <col min="1793" max="1793" width="36.42578125" style="747" bestFit="1" customWidth="1"/>
    <col min="1794" max="1794" width="12.42578125" style="747" bestFit="1" customWidth="1"/>
    <col min="1795" max="1795" width="4.7109375" style="747" customWidth="1"/>
    <col min="1796" max="1796" width="21" style="747" customWidth="1"/>
    <col min="1797" max="1797" width="11.28515625" style="747" customWidth="1"/>
    <col min="1798" max="1798" width="11.28515625" style="747" bestFit="1" customWidth="1"/>
    <col min="1799" max="2047" width="9.140625" style="747" customWidth="1"/>
    <col min="2048" max="2048" width="34.28515625" style="747"/>
    <col min="2049" max="2049" width="36.42578125" style="747" bestFit="1" customWidth="1"/>
    <col min="2050" max="2050" width="12.42578125" style="747" bestFit="1" customWidth="1"/>
    <col min="2051" max="2051" width="4.7109375" style="747" customWidth="1"/>
    <col min="2052" max="2052" width="21" style="747" customWidth="1"/>
    <col min="2053" max="2053" width="11.28515625" style="747" customWidth="1"/>
    <col min="2054" max="2054" width="11.28515625" style="747" bestFit="1" customWidth="1"/>
    <col min="2055" max="2303" width="9.140625" style="747" customWidth="1"/>
    <col min="2304" max="2304" width="34.28515625" style="747"/>
    <col min="2305" max="2305" width="36.42578125" style="747" bestFit="1" customWidth="1"/>
    <col min="2306" max="2306" width="12.42578125" style="747" bestFit="1" customWidth="1"/>
    <col min="2307" max="2307" width="4.7109375" style="747" customWidth="1"/>
    <col min="2308" max="2308" width="21" style="747" customWidth="1"/>
    <col min="2309" max="2309" width="11.28515625" style="747" customWidth="1"/>
    <col min="2310" max="2310" width="11.28515625" style="747" bestFit="1" customWidth="1"/>
    <col min="2311" max="2559" width="9.140625" style="747" customWidth="1"/>
    <col min="2560" max="2560" width="34.28515625" style="747"/>
    <col min="2561" max="2561" width="36.42578125" style="747" bestFit="1" customWidth="1"/>
    <col min="2562" max="2562" width="12.42578125" style="747" bestFit="1" customWidth="1"/>
    <col min="2563" max="2563" width="4.7109375" style="747" customWidth="1"/>
    <col min="2564" max="2564" width="21" style="747" customWidth="1"/>
    <col min="2565" max="2565" width="11.28515625" style="747" customWidth="1"/>
    <col min="2566" max="2566" width="11.28515625" style="747" bestFit="1" customWidth="1"/>
    <col min="2567" max="2815" width="9.140625" style="747" customWidth="1"/>
    <col min="2816" max="2816" width="34.28515625" style="747"/>
    <col min="2817" max="2817" width="36.42578125" style="747" bestFit="1" customWidth="1"/>
    <col min="2818" max="2818" width="12.42578125" style="747" bestFit="1" customWidth="1"/>
    <col min="2819" max="2819" width="4.7109375" style="747" customWidth="1"/>
    <col min="2820" max="2820" width="21" style="747" customWidth="1"/>
    <col min="2821" max="2821" width="11.28515625" style="747" customWidth="1"/>
    <col min="2822" max="2822" width="11.28515625" style="747" bestFit="1" customWidth="1"/>
    <col min="2823" max="3071" width="9.140625" style="747" customWidth="1"/>
    <col min="3072" max="3072" width="34.28515625" style="747"/>
    <col min="3073" max="3073" width="36.42578125" style="747" bestFit="1" customWidth="1"/>
    <col min="3074" max="3074" width="12.42578125" style="747" bestFit="1" customWidth="1"/>
    <col min="3075" max="3075" width="4.7109375" style="747" customWidth="1"/>
    <col min="3076" max="3076" width="21" style="747" customWidth="1"/>
    <col min="3077" max="3077" width="11.28515625" style="747" customWidth="1"/>
    <col min="3078" max="3078" width="11.28515625" style="747" bestFit="1" customWidth="1"/>
    <col min="3079" max="3327" width="9.140625" style="747" customWidth="1"/>
    <col min="3328" max="3328" width="34.28515625" style="747"/>
    <col min="3329" max="3329" width="36.42578125" style="747" bestFit="1" customWidth="1"/>
    <col min="3330" max="3330" width="12.42578125" style="747" bestFit="1" customWidth="1"/>
    <col min="3331" max="3331" width="4.7109375" style="747" customWidth="1"/>
    <col min="3332" max="3332" width="21" style="747" customWidth="1"/>
    <col min="3333" max="3333" width="11.28515625" style="747" customWidth="1"/>
    <col min="3334" max="3334" width="11.28515625" style="747" bestFit="1" customWidth="1"/>
    <col min="3335" max="3583" width="9.140625" style="747" customWidth="1"/>
    <col min="3584" max="3584" width="34.28515625" style="747"/>
    <col min="3585" max="3585" width="36.42578125" style="747" bestFit="1" customWidth="1"/>
    <col min="3586" max="3586" width="12.42578125" style="747" bestFit="1" customWidth="1"/>
    <col min="3587" max="3587" width="4.7109375" style="747" customWidth="1"/>
    <col min="3588" max="3588" width="21" style="747" customWidth="1"/>
    <col min="3589" max="3589" width="11.28515625" style="747" customWidth="1"/>
    <col min="3590" max="3590" width="11.28515625" style="747" bestFit="1" customWidth="1"/>
    <col min="3591" max="3839" width="9.140625" style="747" customWidth="1"/>
    <col min="3840" max="3840" width="34.28515625" style="747"/>
    <col min="3841" max="3841" width="36.42578125" style="747" bestFit="1" customWidth="1"/>
    <col min="3842" max="3842" width="12.42578125" style="747" bestFit="1" customWidth="1"/>
    <col min="3843" max="3843" width="4.7109375" style="747" customWidth="1"/>
    <col min="3844" max="3844" width="21" style="747" customWidth="1"/>
    <col min="3845" max="3845" width="11.28515625" style="747" customWidth="1"/>
    <col min="3846" max="3846" width="11.28515625" style="747" bestFit="1" customWidth="1"/>
    <col min="3847" max="4095" width="9.140625" style="747" customWidth="1"/>
    <col min="4096" max="4096" width="34.28515625" style="747"/>
    <col min="4097" max="4097" width="36.42578125" style="747" bestFit="1" customWidth="1"/>
    <col min="4098" max="4098" width="12.42578125" style="747" bestFit="1" customWidth="1"/>
    <col min="4099" max="4099" width="4.7109375" style="747" customWidth="1"/>
    <col min="4100" max="4100" width="21" style="747" customWidth="1"/>
    <col min="4101" max="4101" width="11.28515625" style="747" customWidth="1"/>
    <col min="4102" max="4102" width="11.28515625" style="747" bestFit="1" customWidth="1"/>
    <col min="4103" max="4351" width="9.140625" style="747" customWidth="1"/>
    <col min="4352" max="4352" width="34.28515625" style="747"/>
    <col min="4353" max="4353" width="36.42578125" style="747" bestFit="1" customWidth="1"/>
    <col min="4354" max="4354" width="12.42578125" style="747" bestFit="1" customWidth="1"/>
    <col min="4355" max="4355" width="4.7109375" style="747" customWidth="1"/>
    <col min="4356" max="4356" width="21" style="747" customWidth="1"/>
    <col min="4357" max="4357" width="11.28515625" style="747" customWidth="1"/>
    <col min="4358" max="4358" width="11.28515625" style="747" bestFit="1" customWidth="1"/>
    <col min="4359" max="4607" width="9.140625" style="747" customWidth="1"/>
    <col min="4608" max="4608" width="34.28515625" style="747"/>
    <col min="4609" max="4609" width="36.42578125" style="747" bestFit="1" customWidth="1"/>
    <col min="4610" max="4610" width="12.42578125" style="747" bestFit="1" customWidth="1"/>
    <col min="4611" max="4611" width="4.7109375" style="747" customWidth="1"/>
    <col min="4612" max="4612" width="21" style="747" customWidth="1"/>
    <col min="4613" max="4613" width="11.28515625" style="747" customWidth="1"/>
    <col min="4614" max="4614" width="11.28515625" style="747" bestFit="1" customWidth="1"/>
    <col min="4615" max="4863" width="9.140625" style="747" customWidth="1"/>
    <col min="4864" max="4864" width="34.28515625" style="747"/>
    <col min="4865" max="4865" width="36.42578125" style="747" bestFit="1" customWidth="1"/>
    <col min="4866" max="4866" width="12.42578125" style="747" bestFit="1" customWidth="1"/>
    <col min="4867" max="4867" width="4.7109375" style="747" customWidth="1"/>
    <col min="4868" max="4868" width="21" style="747" customWidth="1"/>
    <col min="4869" max="4869" width="11.28515625" style="747" customWidth="1"/>
    <col min="4870" max="4870" width="11.28515625" style="747" bestFit="1" customWidth="1"/>
    <col min="4871" max="5119" width="9.140625" style="747" customWidth="1"/>
    <col min="5120" max="5120" width="34.28515625" style="747"/>
    <col min="5121" max="5121" width="36.42578125" style="747" bestFit="1" customWidth="1"/>
    <col min="5122" max="5122" width="12.42578125" style="747" bestFit="1" customWidth="1"/>
    <col min="5123" max="5123" width="4.7109375" style="747" customWidth="1"/>
    <col min="5124" max="5124" width="21" style="747" customWidth="1"/>
    <col min="5125" max="5125" width="11.28515625" style="747" customWidth="1"/>
    <col min="5126" max="5126" width="11.28515625" style="747" bestFit="1" customWidth="1"/>
    <col min="5127" max="5375" width="9.140625" style="747" customWidth="1"/>
    <col min="5376" max="5376" width="34.28515625" style="747"/>
    <col min="5377" max="5377" width="36.42578125" style="747" bestFit="1" customWidth="1"/>
    <col min="5378" max="5378" width="12.42578125" style="747" bestFit="1" customWidth="1"/>
    <col min="5379" max="5379" width="4.7109375" style="747" customWidth="1"/>
    <col min="5380" max="5380" width="21" style="747" customWidth="1"/>
    <col min="5381" max="5381" width="11.28515625" style="747" customWidth="1"/>
    <col min="5382" max="5382" width="11.28515625" style="747" bestFit="1" customWidth="1"/>
    <col min="5383" max="5631" width="9.140625" style="747" customWidth="1"/>
    <col min="5632" max="5632" width="34.28515625" style="747"/>
    <col min="5633" max="5633" width="36.42578125" style="747" bestFit="1" customWidth="1"/>
    <col min="5634" max="5634" width="12.42578125" style="747" bestFit="1" customWidth="1"/>
    <col min="5635" max="5635" width="4.7109375" style="747" customWidth="1"/>
    <col min="5636" max="5636" width="21" style="747" customWidth="1"/>
    <col min="5637" max="5637" width="11.28515625" style="747" customWidth="1"/>
    <col min="5638" max="5638" width="11.28515625" style="747" bestFit="1" customWidth="1"/>
    <col min="5639" max="5887" width="9.140625" style="747" customWidth="1"/>
    <col min="5888" max="5888" width="34.28515625" style="747"/>
    <col min="5889" max="5889" width="36.42578125" style="747" bestFit="1" customWidth="1"/>
    <col min="5890" max="5890" width="12.42578125" style="747" bestFit="1" customWidth="1"/>
    <col min="5891" max="5891" width="4.7109375" style="747" customWidth="1"/>
    <col min="5892" max="5892" width="21" style="747" customWidth="1"/>
    <col min="5893" max="5893" width="11.28515625" style="747" customWidth="1"/>
    <col min="5894" max="5894" width="11.28515625" style="747" bestFit="1" customWidth="1"/>
    <col min="5895" max="6143" width="9.140625" style="747" customWidth="1"/>
    <col min="6144" max="6144" width="34.28515625" style="747"/>
    <col min="6145" max="6145" width="36.42578125" style="747" bestFit="1" customWidth="1"/>
    <col min="6146" max="6146" width="12.42578125" style="747" bestFit="1" customWidth="1"/>
    <col min="6147" max="6147" width="4.7109375" style="747" customWidth="1"/>
    <col min="6148" max="6148" width="21" style="747" customWidth="1"/>
    <col min="6149" max="6149" width="11.28515625" style="747" customWidth="1"/>
    <col min="6150" max="6150" width="11.28515625" style="747" bestFit="1" customWidth="1"/>
    <col min="6151" max="6399" width="9.140625" style="747" customWidth="1"/>
    <col min="6400" max="6400" width="34.28515625" style="747"/>
    <col min="6401" max="6401" width="36.42578125" style="747" bestFit="1" customWidth="1"/>
    <col min="6402" max="6402" width="12.42578125" style="747" bestFit="1" customWidth="1"/>
    <col min="6403" max="6403" width="4.7109375" style="747" customWidth="1"/>
    <col min="6404" max="6404" width="21" style="747" customWidth="1"/>
    <col min="6405" max="6405" width="11.28515625" style="747" customWidth="1"/>
    <col min="6406" max="6406" width="11.28515625" style="747" bestFit="1" customWidth="1"/>
    <col min="6407" max="6655" width="9.140625" style="747" customWidth="1"/>
    <col min="6656" max="6656" width="34.28515625" style="747"/>
    <col min="6657" max="6657" width="36.42578125" style="747" bestFit="1" customWidth="1"/>
    <col min="6658" max="6658" width="12.42578125" style="747" bestFit="1" customWidth="1"/>
    <col min="6659" max="6659" width="4.7109375" style="747" customWidth="1"/>
    <col min="6660" max="6660" width="21" style="747" customWidth="1"/>
    <col min="6661" max="6661" width="11.28515625" style="747" customWidth="1"/>
    <col min="6662" max="6662" width="11.28515625" style="747" bestFit="1" customWidth="1"/>
    <col min="6663" max="6911" width="9.140625" style="747" customWidth="1"/>
    <col min="6912" max="6912" width="34.28515625" style="747"/>
    <col min="6913" max="6913" width="36.42578125" style="747" bestFit="1" customWidth="1"/>
    <col min="6914" max="6914" width="12.42578125" style="747" bestFit="1" customWidth="1"/>
    <col min="6915" max="6915" width="4.7109375" style="747" customWidth="1"/>
    <col min="6916" max="6916" width="21" style="747" customWidth="1"/>
    <col min="6917" max="6917" width="11.28515625" style="747" customWidth="1"/>
    <col min="6918" max="6918" width="11.28515625" style="747" bestFit="1" customWidth="1"/>
    <col min="6919" max="7167" width="9.140625" style="747" customWidth="1"/>
    <col min="7168" max="7168" width="34.28515625" style="747"/>
    <col min="7169" max="7169" width="36.42578125" style="747" bestFit="1" customWidth="1"/>
    <col min="7170" max="7170" width="12.42578125" style="747" bestFit="1" customWidth="1"/>
    <col min="7171" max="7171" width="4.7109375" style="747" customWidth="1"/>
    <col min="7172" max="7172" width="21" style="747" customWidth="1"/>
    <col min="7173" max="7173" width="11.28515625" style="747" customWidth="1"/>
    <col min="7174" max="7174" width="11.28515625" style="747" bestFit="1" customWidth="1"/>
    <col min="7175" max="7423" width="9.140625" style="747" customWidth="1"/>
    <col min="7424" max="7424" width="34.28515625" style="747"/>
    <col min="7425" max="7425" width="36.42578125" style="747" bestFit="1" customWidth="1"/>
    <col min="7426" max="7426" width="12.42578125" style="747" bestFit="1" customWidth="1"/>
    <col min="7427" max="7427" width="4.7109375" style="747" customWidth="1"/>
    <col min="7428" max="7428" width="21" style="747" customWidth="1"/>
    <col min="7429" max="7429" width="11.28515625" style="747" customWidth="1"/>
    <col min="7430" max="7430" width="11.28515625" style="747" bestFit="1" customWidth="1"/>
    <col min="7431" max="7679" width="9.140625" style="747" customWidth="1"/>
    <col min="7680" max="7680" width="34.28515625" style="747"/>
    <col min="7681" max="7681" width="36.42578125" style="747" bestFit="1" customWidth="1"/>
    <col min="7682" max="7682" width="12.42578125" style="747" bestFit="1" customWidth="1"/>
    <col min="7683" max="7683" width="4.7109375" style="747" customWidth="1"/>
    <col min="7684" max="7684" width="21" style="747" customWidth="1"/>
    <col min="7685" max="7685" width="11.28515625" style="747" customWidth="1"/>
    <col min="7686" max="7686" width="11.28515625" style="747" bestFit="1" customWidth="1"/>
    <col min="7687" max="7935" width="9.140625" style="747" customWidth="1"/>
    <col min="7936" max="7936" width="34.28515625" style="747"/>
    <col min="7937" max="7937" width="36.42578125" style="747" bestFit="1" customWidth="1"/>
    <col min="7938" max="7938" width="12.42578125" style="747" bestFit="1" customWidth="1"/>
    <col min="7939" max="7939" width="4.7109375" style="747" customWidth="1"/>
    <col min="7940" max="7940" width="21" style="747" customWidth="1"/>
    <col min="7941" max="7941" width="11.28515625" style="747" customWidth="1"/>
    <col min="7942" max="7942" width="11.28515625" style="747" bestFit="1" customWidth="1"/>
    <col min="7943" max="8191" width="9.140625" style="747" customWidth="1"/>
    <col min="8192" max="8192" width="34.28515625" style="747"/>
    <col min="8193" max="8193" width="36.42578125" style="747" bestFit="1" customWidth="1"/>
    <col min="8194" max="8194" width="12.42578125" style="747" bestFit="1" customWidth="1"/>
    <col min="8195" max="8195" width="4.7109375" style="747" customWidth="1"/>
    <col min="8196" max="8196" width="21" style="747" customWidth="1"/>
    <col min="8197" max="8197" width="11.28515625" style="747" customWidth="1"/>
    <col min="8198" max="8198" width="11.28515625" style="747" bestFit="1" customWidth="1"/>
    <col min="8199" max="8447" width="9.140625" style="747" customWidth="1"/>
    <col min="8448" max="8448" width="34.28515625" style="747"/>
    <col min="8449" max="8449" width="36.42578125" style="747" bestFit="1" customWidth="1"/>
    <col min="8450" max="8450" width="12.42578125" style="747" bestFit="1" customWidth="1"/>
    <col min="8451" max="8451" width="4.7109375" style="747" customWidth="1"/>
    <col min="8452" max="8452" width="21" style="747" customWidth="1"/>
    <col min="8453" max="8453" width="11.28515625" style="747" customWidth="1"/>
    <col min="8454" max="8454" width="11.28515625" style="747" bestFit="1" customWidth="1"/>
    <col min="8455" max="8703" width="9.140625" style="747" customWidth="1"/>
    <col min="8704" max="8704" width="34.28515625" style="747"/>
    <col min="8705" max="8705" width="36.42578125" style="747" bestFit="1" customWidth="1"/>
    <col min="8706" max="8706" width="12.42578125" style="747" bestFit="1" customWidth="1"/>
    <col min="8707" max="8707" width="4.7109375" style="747" customWidth="1"/>
    <col min="8708" max="8708" width="21" style="747" customWidth="1"/>
    <col min="8709" max="8709" width="11.28515625" style="747" customWidth="1"/>
    <col min="8710" max="8710" width="11.28515625" style="747" bestFit="1" customWidth="1"/>
    <col min="8711" max="8959" width="9.140625" style="747" customWidth="1"/>
    <col min="8960" max="8960" width="34.28515625" style="747"/>
    <col min="8961" max="8961" width="36.42578125" style="747" bestFit="1" customWidth="1"/>
    <col min="8962" max="8962" width="12.42578125" style="747" bestFit="1" customWidth="1"/>
    <col min="8963" max="8963" width="4.7109375" style="747" customWidth="1"/>
    <col min="8964" max="8964" width="21" style="747" customWidth="1"/>
    <col min="8965" max="8965" width="11.28515625" style="747" customWidth="1"/>
    <col min="8966" max="8966" width="11.28515625" style="747" bestFit="1" customWidth="1"/>
    <col min="8967" max="9215" width="9.140625" style="747" customWidth="1"/>
    <col min="9216" max="9216" width="34.28515625" style="747"/>
    <col min="9217" max="9217" width="36.42578125" style="747" bestFit="1" customWidth="1"/>
    <col min="9218" max="9218" width="12.42578125" style="747" bestFit="1" customWidth="1"/>
    <col min="9219" max="9219" width="4.7109375" style="747" customWidth="1"/>
    <col min="9220" max="9220" width="21" style="747" customWidth="1"/>
    <col min="9221" max="9221" width="11.28515625" style="747" customWidth="1"/>
    <col min="9222" max="9222" width="11.28515625" style="747" bestFit="1" customWidth="1"/>
    <col min="9223" max="9471" width="9.140625" style="747" customWidth="1"/>
    <col min="9472" max="9472" width="34.28515625" style="747"/>
    <col min="9473" max="9473" width="36.42578125" style="747" bestFit="1" customWidth="1"/>
    <col min="9474" max="9474" width="12.42578125" style="747" bestFit="1" customWidth="1"/>
    <col min="9475" max="9475" width="4.7109375" style="747" customWidth="1"/>
    <col min="9476" max="9476" width="21" style="747" customWidth="1"/>
    <col min="9477" max="9477" width="11.28515625" style="747" customWidth="1"/>
    <col min="9478" max="9478" width="11.28515625" style="747" bestFit="1" customWidth="1"/>
    <col min="9479" max="9727" width="9.140625" style="747" customWidth="1"/>
    <col min="9728" max="9728" width="34.28515625" style="747"/>
    <col min="9729" max="9729" width="36.42578125" style="747" bestFit="1" customWidth="1"/>
    <col min="9730" max="9730" width="12.42578125" style="747" bestFit="1" customWidth="1"/>
    <col min="9731" max="9731" width="4.7109375" style="747" customWidth="1"/>
    <col min="9732" max="9732" width="21" style="747" customWidth="1"/>
    <col min="9733" max="9733" width="11.28515625" style="747" customWidth="1"/>
    <col min="9734" max="9734" width="11.28515625" style="747" bestFit="1" customWidth="1"/>
    <col min="9735" max="9983" width="9.140625" style="747" customWidth="1"/>
    <col min="9984" max="9984" width="34.28515625" style="747"/>
    <col min="9985" max="9985" width="36.42578125" style="747" bestFit="1" customWidth="1"/>
    <col min="9986" max="9986" width="12.42578125" style="747" bestFit="1" customWidth="1"/>
    <col min="9987" max="9987" width="4.7109375" style="747" customWidth="1"/>
    <col min="9988" max="9988" width="21" style="747" customWidth="1"/>
    <col min="9989" max="9989" width="11.28515625" style="747" customWidth="1"/>
    <col min="9990" max="9990" width="11.28515625" style="747" bestFit="1" customWidth="1"/>
    <col min="9991" max="10239" width="9.140625" style="747" customWidth="1"/>
    <col min="10240" max="10240" width="34.28515625" style="747"/>
    <col min="10241" max="10241" width="36.42578125" style="747" bestFit="1" customWidth="1"/>
    <col min="10242" max="10242" width="12.42578125" style="747" bestFit="1" customWidth="1"/>
    <col min="10243" max="10243" width="4.7109375" style="747" customWidth="1"/>
    <col min="10244" max="10244" width="21" style="747" customWidth="1"/>
    <col min="10245" max="10245" width="11.28515625" style="747" customWidth="1"/>
    <col min="10246" max="10246" width="11.28515625" style="747" bestFit="1" customWidth="1"/>
    <col min="10247" max="10495" width="9.140625" style="747" customWidth="1"/>
    <col min="10496" max="10496" width="34.28515625" style="747"/>
    <col min="10497" max="10497" width="36.42578125" style="747" bestFit="1" customWidth="1"/>
    <col min="10498" max="10498" width="12.42578125" style="747" bestFit="1" customWidth="1"/>
    <col min="10499" max="10499" width="4.7109375" style="747" customWidth="1"/>
    <col min="10500" max="10500" width="21" style="747" customWidth="1"/>
    <col min="10501" max="10501" width="11.28515625" style="747" customWidth="1"/>
    <col min="10502" max="10502" width="11.28515625" style="747" bestFit="1" customWidth="1"/>
    <col min="10503" max="10751" width="9.140625" style="747" customWidth="1"/>
    <col min="10752" max="10752" width="34.28515625" style="747"/>
    <col min="10753" max="10753" width="36.42578125" style="747" bestFit="1" customWidth="1"/>
    <col min="10754" max="10754" width="12.42578125" style="747" bestFit="1" customWidth="1"/>
    <col min="10755" max="10755" width="4.7109375" style="747" customWidth="1"/>
    <col min="10756" max="10756" width="21" style="747" customWidth="1"/>
    <col min="10757" max="10757" width="11.28515625" style="747" customWidth="1"/>
    <col min="10758" max="10758" width="11.28515625" style="747" bestFit="1" customWidth="1"/>
    <col min="10759" max="11007" width="9.140625" style="747" customWidth="1"/>
    <col min="11008" max="11008" width="34.28515625" style="747"/>
    <col min="11009" max="11009" width="36.42578125" style="747" bestFit="1" customWidth="1"/>
    <col min="11010" max="11010" width="12.42578125" style="747" bestFit="1" customWidth="1"/>
    <col min="11011" max="11011" width="4.7109375" style="747" customWidth="1"/>
    <col min="11012" max="11012" width="21" style="747" customWidth="1"/>
    <col min="11013" max="11013" width="11.28515625" style="747" customWidth="1"/>
    <col min="11014" max="11014" width="11.28515625" style="747" bestFit="1" customWidth="1"/>
    <col min="11015" max="11263" width="9.140625" style="747" customWidth="1"/>
    <col min="11264" max="11264" width="34.28515625" style="747"/>
    <col min="11265" max="11265" width="36.42578125" style="747" bestFit="1" customWidth="1"/>
    <col min="11266" max="11266" width="12.42578125" style="747" bestFit="1" customWidth="1"/>
    <col min="11267" max="11267" width="4.7109375" style="747" customWidth="1"/>
    <col min="11268" max="11268" width="21" style="747" customWidth="1"/>
    <col min="11269" max="11269" width="11.28515625" style="747" customWidth="1"/>
    <col min="11270" max="11270" width="11.28515625" style="747" bestFit="1" customWidth="1"/>
    <col min="11271" max="11519" width="9.140625" style="747" customWidth="1"/>
    <col min="11520" max="11520" width="34.28515625" style="747"/>
    <col min="11521" max="11521" width="36.42578125" style="747" bestFit="1" customWidth="1"/>
    <col min="11522" max="11522" width="12.42578125" style="747" bestFit="1" customWidth="1"/>
    <col min="11523" max="11523" width="4.7109375" style="747" customWidth="1"/>
    <col min="11524" max="11524" width="21" style="747" customWidth="1"/>
    <col min="11525" max="11525" width="11.28515625" style="747" customWidth="1"/>
    <col min="11526" max="11526" width="11.28515625" style="747" bestFit="1" customWidth="1"/>
    <col min="11527" max="11775" width="9.140625" style="747" customWidth="1"/>
    <col min="11776" max="11776" width="34.28515625" style="747"/>
    <col min="11777" max="11777" width="36.42578125" style="747" bestFit="1" customWidth="1"/>
    <col min="11778" max="11778" width="12.42578125" style="747" bestFit="1" customWidth="1"/>
    <col min="11779" max="11779" width="4.7109375" style="747" customWidth="1"/>
    <col min="11780" max="11780" width="21" style="747" customWidth="1"/>
    <col min="11781" max="11781" width="11.28515625" style="747" customWidth="1"/>
    <col min="11782" max="11782" width="11.28515625" style="747" bestFit="1" customWidth="1"/>
    <col min="11783" max="12031" width="9.140625" style="747" customWidth="1"/>
    <col min="12032" max="12032" width="34.28515625" style="747"/>
    <col min="12033" max="12033" width="36.42578125" style="747" bestFit="1" customWidth="1"/>
    <col min="12034" max="12034" width="12.42578125" style="747" bestFit="1" customWidth="1"/>
    <col min="12035" max="12035" width="4.7109375" style="747" customWidth="1"/>
    <col min="12036" max="12036" width="21" style="747" customWidth="1"/>
    <col min="12037" max="12037" width="11.28515625" style="747" customWidth="1"/>
    <col min="12038" max="12038" width="11.28515625" style="747" bestFit="1" customWidth="1"/>
    <col min="12039" max="12287" width="9.140625" style="747" customWidth="1"/>
    <col min="12288" max="12288" width="34.28515625" style="747"/>
    <col min="12289" max="12289" width="36.42578125" style="747" bestFit="1" customWidth="1"/>
    <col min="12290" max="12290" width="12.42578125" style="747" bestFit="1" customWidth="1"/>
    <col min="12291" max="12291" width="4.7109375" style="747" customWidth="1"/>
    <col min="12292" max="12292" width="21" style="747" customWidth="1"/>
    <col min="12293" max="12293" width="11.28515625" style="747" customWidth="1"/>
    <col min="12294" max="12294" width="11.28515625" style="747" bestFit="1" customWidth="1"/>
    <col min="12295" max="12543" width="9.140625" style="747" customWidth="1"/>
    <col min="12544" max="12544" width="34.28515625" style="747"/>
    <col min="12545" max="12545" width="36.42578125" style="747" bestFit="1" customWidth="1"/>
    <col min="12546" max="12546" width="12.42578125" style="747" bestFit="1" customWidth="1"/>
    <col min="12547" max="12547" width="4.7109375" style="747" customWidth="1"/>
    <col min="12548" max="12548" width="21" style="747" customWidth="1"/>
    <col min="12549" max="12549" width="11.28515625" style="747" customWidth="1"/>
    <col min="12550" max="12550" width="11.28515625" style="747" bestFit="1" customWidth="1"/>
    <col min="12551" max="12799" width="9.140625" style="747" customWidth="1"/>
    <col min="12800" max="12800" width="34.28515625" style="747"/>
    <col min="12801" max="12801" width="36.42578125" style="747" bestFit="1" customWidth="1"/>
    <col min="12802" max="12802" width="12.42578125" style="747" bestFit="1" customWidth="1"/>
    <col min="12803" max="12803" width="4.7109375" style="747" customWidth="1"/>
    <col min="12804" max="12804" width="21" style="747" customWidth="1"/>
    <col min="12805" max="12805" width="11.28515625" style="747" customWidth="1"/>
    <col min="12806" max="12806" width="11.28515625" style="747" bestFit="1" customWidth="1"/>
    <col min="12807" max="13055" width="9.140625" style="747" customWidth="1"/>
    <col min="13056" max="13056" width="34.28515625" style="747"/>
    <col min="13057" max="13057" width="36.42578125" style="747" bestFit="1" customWidth="1"/>
    <col min="13058" max="13058" width="12.42578125" style="747" bestFit="1" customWidth="1"/>
    <col min="13059" max="13059" width="4.7109375" style="747" customWidth="1"/>
    <col min="13060" max="13060" width="21" style="747" customWidth="1"/>
    <col min="13061" max="13061" width="11.28515625" style="747" customWidth="1"/>
    <col min="13062" max="13062" width="11.28515625" style="747" bestFit="1" customWidth="1"/>
    <col min="13063" max="13311" width="9.140625" style="747" customWidth="1"/>
    <col min="13312" max="13312" width="34.28515625" style="747"/>
    <col min="13313" max="13313" width="36.42578125" style="747" bestFit="1" customWidth="1"/>
    <col min="13314" max="13314" width="12.42578125" style="747" bestFit="1" customWidth="1"/>
    <col min="13315" max="13315" width="4.7109375" style="747" customWidth="1"/>
    <col min="13316" max="13316" width="21" style="747" customWidth="1"/>
    <col min="13317" max="13317" width="11.28515625" style="747" customWidth="1"/>
    <col min="13318" max="13318" width="11.28515625" style="747" bestFit="1" customWidth="1"/>
    <col min="13319" max="13567" width="9.140625" style="747" customWidth="1"/>
    <col min="13568" max="13568" width="34.28515625" style="747"/>
    <col min="13569" max="13569" width="36.42578125" style="747" bestFit="1" customWidth="1"/>
    <col min="13570" max="13570" width="12.42578125" style="747" bestFit="1" customWidth="1"/>
    <col min="13571" max="13571" width="4.7109375" style="747" customWidth="1"/>
    <col min="13572" max="13572" width="21" style="747" customWidth="1"/>
    <col min="13573" max="13573" width="11.28515625" style="747" customWidth="1"/>
    <col min="13574" max="13574" width="11.28515625" style="747" bestFit="1" customWidth="1"/>
    <col min="13575" max="13823" width="9.140625" style="747" customWidth="1"/>
    <col min="13824" max="13824" width="34.28515625" style="747"/>
    <col min="13825" max="13825" width="36.42578125" style="747" bestFit="1" customWidth="1"/>
    <col min="13826" max="13826" width="12.42578125" style="747" bestFit="1" customWidth="1"/>
    <col min="13827" max="13827" width="4.7109375" style="747" customWidth="1"/>
    <col min="13828" max="13828" width="21" style="747" customWidth="1"/>
    <col min="13829" max="13829" width="11.28515625" style="747" customWidth="1"/>
    <col min="13830" max="13830" width="11.28515625" style="747" bestFit="1" customWidth="1"/>
    <col min="13831" max="14079" width="9.140625" style="747" customWidth="1"/>
    <col min="14080" max="14080" width="34.28515625" style="747"/>
    <col min="14081" max="14081" width="36.42578125" style="747" bestFit="1" customWidth="1"/>
    <col min="14082" max="14082" width="12.42578125" style="747" bestFit="1" customWidth="1"/>
    <col min="14083" max="14083" width="4.7109375" style="747" customWidth="1"/>
    <col min="14084" max="14084" width="21" style="747" customWidth="1"/>
    <col min="14085" max="14085" width="11.28515625" style="747" customWidth="1"/>
    <col min="14086" max="14086" width="11.28515625" style="747" bestFit="1" customWidth="1"/>
    <col min="14087" max="14335" width="9.140625" style="747" customWidth="1"/>
    <col min="14336" max="14336" width="34.28515625" style="747"/>
    <col min="14337" max="14337" width="36.42578125" style="747" bestFit="1" customWidth="1"/>
    <col min="14338" max="14338" width="12.42578125" style="747" bestFit="1" customWidth="1"/>
    <col min="14339" max="14339" width="4.7109375" style="747" customWidth="1"/>
    <col min="14340" max="14340" width="21" style="747" customWidth="1"/>
    <col min="14341" max="14341" width="11.28515625" style="747" customWidth="1"/>
    <col min="14342" max="14342" width="11.28515625" style="747" bestFit="1" customWidth="1"/>
    <col min="14343" max="14591" width="9.140625" style="747" customWidth="1"/>
    <col min="14592" max="14592" width="34.28515625" style="747"/>
    <col min="14593" max="14593" width="36.42578125" style="747" bestFit="1" customWidth="1"/>
    <col min="14594" max="14594" width="12.42578125" style="747" bestFit="1" customWidth="1"/>
    <col min="14595" max="14595" width="4.7109375" style="747" customWidth="1"/>
    <col min="14596" max="14596" width="21" style="747" customWidth="1"/>
    <col min="14597" max="14597" width="11.28515625" style="747" customWidth="1"/>
    <col min="14598" max="14598" width="11.28515625" style="747" bestFit="1" customWidth="1"/>
    <col min="14599" max="14847" width="9.140625" style="747" customWidth="1"/>
    <col min="14848" max="14848" width="34.28515625" style="747"/>
    <col min="14849" max="14849" width="36.42578125" style="747" bestFit="1" customWidth="1"/>
    <col min="14850" max="14850" width="12.42578125" style="747" bestFit="1" customWidth="1"/>
    <col min="14851" max="14851" width="4.7109375" style="747" customWidth="1"/>
    <col min="14852" max="14852" width="21" style="747" customWidth="1"/>
    <col min="14853" max="14853" width="11.28515625" style="747" customWidth="1"/>
    <col min="14854" max="14854" width="11.28515625" style="747" bestFit="1" customWidth="1"/>
    <col min="14855" max="15103" width="9.140625" style="747" customWidth="1"/>
    <col min="15104" max="15104" width="34.28515625" style="747"/>
    <col min="15105" max="15105" width="36.42578125" style="747" bestFit="1" customWidth="1"/>
    <col min="15106" max="15106" width="12.42578125" style="747" bestFit="1" customWidth="1"/>
    <col min="15107" max="15107" width="4.7109375" style="747" customWidth="1"/>
    <col min="15108" max="15108" width="21" style="747" customWidth="1"/>
    <col min="15109" max="15109" width="11.28515625" style="747" customWidth="1"/>
    <col min="15110" max="15110" width="11.28515625" style="747" bestFit="1" customWidth="1"/>
    <col min="15111" max="15359" width="9.140625" style="747" customWidth="1"/>
    <col min="15360" max="15360" width="34.28515625" style="747"/>
    <col min="15361" max="15361" width="36.42578125" style="747" bestFit="1" customWidth="1"/>
    <col min="15362" max="15362" width="12.42578125" style="747" bestFit="1" customWidth="1"/>
    <col min="15363" max="15363" width="4.7109375" style="747" customWidth="1"/>
    <col min="15364" max="15364" width="21" style="747" customWidth="1"/>
    <col min="15365" max="15365" width="11.28515625" style="747" customWidth="1"/>
    <col min="15366" max="15366" width="11.28515625" style="747" bestFit="1" customWidth="1"/>
    <col min="15367" max="15615" width="9.140625" style="747" customWidth="1"/>
    <col min="15616" max="15616" width="34.28515625" style="747"/>
    <col min="15617" max="15617" width="36.42578125" style="747" bestFit="1" customWidth="1"/>
    <col min="15618" max="15618" width="12.42578125" style="747" bestFit="1" customWidth="1"/>
    <col min="15619" max="15619" width="4.7109375" style="747" customWidth="1"/>
    <col min="15620" max="15620" width="21" style="747" customWidth="1"/>
    <col min="15621" max="15621" width="11.28515625" style="747" customWidth="1"/>
    <col min="15622" max="15622" width="11.28515625" style="747" bestFit="1" customWidth="1"/>
    <col min="15623" max="15871" width="9.140625" style="747" customWidth="1"/>
    <col min="15872" max="15872" width="34.28515625" style="747"/>
    <col min="15873" max="15873" width="36.42578125" style="747" bestFit="1" customWidth="1"/>
    <col min="15874" max="15874" width="12.42578125" style="747" bestFit="1" customWidth="1"/>
    <col min="15875" max="15875" width="4.7109375" style="747" customWidth="1"/>
    <col min="15876" max="15876" width="21" style="747" customWidth="1"/>
    <col min="15877" max="15877" width="11.28515625" style="747" customWidth="1"/>
    <col min="15878" max="15878" width="11.28515625" style="747" bestFit="1" customWidth="1"/>
    <col min="15879" max="16127" width="9.140625" style="747" customWidth="1"/>
    <col min="16128" max="16128" width="34.28515625" style="747"/>
    <col min="16129" max="16129" width="36.42578125" style="747" bestFit="1" customWidth="1"/>
    <col min="16130" max="16130" width="12.42578125" style="747" bestFit="1" customWidth="1"/>
    <col min="16131" max="16131" width="4.7109375" style="747" customWidth="1"/>
    <col min="16132" max="16132" width="21" style="747" customWidth="1"/>
    <col min="16133" max="16133" width="11.28515625" style="747" customWidth="1"/>
    <col min="16134" max="16134" width="11.28515625" style="747" bestFit="1" customWidth="1"/>
    <col min="16135" max="16383" width="9.140625" style="747" customWidth="1"/>
    <col min="16384" max="16384" width="34.28515625" style="747"/>
  </cols>
  <sheetData>
    <row r="1" spans="1:9" ht="12.75">
      <c r="A1" s="704" t="s">
        <v>794</v>
      </c>
      <c r="D1" s="704" t="s">
        <v>795</v>
      </c>
    </row>
    <row r="2" spans="1:9">
      <c r="D2" s="748" t="s">
        <v>796</v>
      </c>
    </row>
    <row r="3" spans="1:9" ht="12" thickBot="1">
      <c r="A3" s="749" t="s">
        <v>797</v>
      </c>
      <c r="D3" s="749" t="s">
        <v>798</v>
      </c>
    </row>
    <row r="4" spans="1:9">
      <c r="A4" s="750" t="s">
        <v>799</v>
      </c>
      <c r="B4" s="751">
        <f>проект!D45</f>
        <v>59125.2</v>
      </c>
      <c r="D4" s="752" t="s">
        <v>577</v>
      </c>
      <c r="E4" s="753">
        <v>0</v>
      </c>
      <c r="F4" s="753">
        <v>1</v>
      </c>
      <c r="G4" s="753">
        <v>2</v>
      </c>
      <c r="H4" s="753">
        <v>3</v>
      </c>
      <c r="I4" s="754">
        <v>4</v>
      </c>
    </row>
    <row r="5" spans="1:9">
      <c r="A5" s="755" t="s">
        <v>800</v>
      </c>
      <c r="B5" s="756">
        <f>проект!D46</f>
        <v>42814.799999999996</v>
      </c>
      <c r="D5" s="755" t="s">
        <v>801</v>
      </c>
      <c r="E5" s="757"/>
      <c r="F5" s="757">
        <f>$B$19</f>
        <v>300000</v>
      </c>
      <c r="G5" s="757">
        <f>$B$19</f>
        <v>300000</v>
      </c>
      <c r="H5" s="757">
        <f>$B$19</f>
        <v>300000</v>
      </c>
      <c r="I5" s="758">
        <f>$B$19</f>
        <v>300000</v>
      </c>
    </row>
    <row r="6" spans="1:9" ht="12" thickBot="1">
      <c r="A6" s="759" t="s">
        <v>802</v>
      </c>
      <c r="B6" s="760">
        <f>SUM(B4:B5)</f>
        <v>101940</v>
      </c>
      <c r="D6" s="755" t="s">
        <v>779</v>
      </c>
      <c r="E6" s="757"/>
      <c r="F6" s="761">
        <f>F5-F7</f>
        <v>165000</v>
      </c>
      <c r="G6" s="761">
        <f>G5-G7</f>
        <v>165000</v>
      </c>
      <c r="H6" s="761">
        <f>H5-H7</f>
        <v>165000</v>
      </c>
      <c r="I6" s="762">
        <f>I5-I7</f>
        <v>165000</v>
      </c>
    </row>
    <row r="7" spans="1:9">
      <c r="A7" s="763" t="s">
        <v>803</v>
      </c>
      <c r="B7" s="764">
        <v>4</v>
      </c>
      <c r="C7" s="747" t="s">
        <v>804</v>
      </c>
      <c r="D7" s="765" t="s">
        <v>805</v>
      </c>
      <c r="E7" s="766"/>
      <c r="F7" s="766">
        <f>F5*$B$20</f>
        <v>135000</v>
      </c>
      <c r="G7" s="766">
        <f>G5*$B$20</f>
        <v>135000</v>
      </c>
      <c r="H7" s="766">
        <f>H5*$B$20</f>
        <v>135000</v>
      </c>
      <c r="I7" s="767">
        <f>I5*$B$20</f>
        <v>135000</v>
      </c>
    </row>
    <row r="8" spans="1:9">
      <c r="A8" s="763" t="s">
        <v>806</v>
      </c>
      <c r="B8" s="768">
        <f>проект!C48</f>
        <v>11825.04</v>
      </c>
      <c r="D8" s="755" t="s">
        <v>781</v>
      </c>
      <c r="E8" s="757"/>
      <c r="F8" s="757">
        <f>$B$21-($B$4-$B$8)/4</f>
        <v>83574.960000000006</v>
      </c>
      <c r="G8" s="757">
        <f>$B$21-($B$4-$B$8)/4</f>
        <v>83574.960000000006</v>
      </c>
      <c r="H8" s="757">
        <f>$B$21-($B$4-$B$8)/4</f>
        <v>83574.960000000006</v>
      </c>
      <c r="I8" s="758">
        <f>$B$21-($B$4-$B$8)/4</f>
        <v>83574.960000000006</v>
      </c>
    </row>
    <row r="9" spans="1:9">
      <c r="A9" s="769" t="str">
        <f>IF(ABS(B13-B6)&gt;0.001,"Сумма инвестиций должна равняться сумме финансирования","   ")</f>
        <v xml:space="preserve">   </v>
      </c>
      <c r="D9" s="755" t="s">
        <v>289</v>
      </c>
      <c r="E9" s="757"/>
      <c r="F9" s="757">
        <f>($B$4-$B$8)/$B$7</f>
        <v>11825.039999999999</v>
      </c>
      <c r="G9" s="757">
        <f>($B$4-$B$8)/$B$7</f>
        <v>11825.039999999999</v>
      </c>
      <c r="H9" s="757">
        <f>($B$4-$B$8)/$B$7</f>
        <v>11825.039999999999</v>
      </c>
      <c r="I9" s="758">
        <f>($B$4-$B$8)/$B$7</f>
        <v>11825.039999999999</v>
      </c>
    </row>
    <row r="10" spans="1:9" ht="12" thickBot="1">
      <c r="A10" s="749" t="s">
        <v>807</v>
      </c>
      <c r="D10" s="765" t="s">
        <v>672</v>
      </c>
      <c r="E10" s="766"/>
      <c r="F10" s="766">
        <f>F7-F8-F9</f>
        <v>39599.999999999993</v>
      </c>
      <c r="G10" s="766">
        <f>G7-G8-G9</f>
        <v>39599.999999999993</v>
      </c>
      <c r="H10" s="766">
        <f>H7-H8-H9</f>
        <v>39599.999999999993</v>
      </c>
      <c r="I10" s="767">
        <f>I7-I8-I9</f>
        <v>39599.999999999993</v>
      </c>
    </row>
    <row r="11" spans="1:9">
      <c r="A11" s="750" t="s">
        <v>694</v>
      </c>
      <c r="B11" s="770">
        <f>проект!C51</f>
        <v>20387.999999999996</v>
      </c>
      <c r="D11" s="755" t="s">
        <v>288</v>
      </c>
      <c r="E11" s="757"/>
      <c r="F11" s="757">
        <f>F10*$B$23</f>
        <v>9957.8492767810258</v>
      </c>
      <c r="G11" s="757">
        <f>G10*$B$23</f>
        <v>9957.8492767810258</v>
      </c>
      <c r="H11" s="757">
        <f>H10*$B$23</f>
        <v>9957.8492767810258</v>
      </c>
      <c r="I11" s="758">
        <f>I10*$B$23</f>
        <v>9957.8492767810258</v>
      </c>
    </row>
    <row r="12" spans="1:9">
      <c r="A12" s="755" t="s">
        <v>695</v>
      </c>
      <c r="B12" s="756">
        <f>проект!C52</f>
        <v>81552</v>
      </c>
      <c r="D12" s="765" t="s">
        <v>500</v>
      </c>
      <c r="E12" s="766"/>
      <c r="F12" s="766">
        <f>F10-F11</f>
        <v>29642.150723218969</v>
      </c>
      <c r="G12" s="766">
        <f>G10-G11</f>
        <v>29642.150723218969</v>
      </c>
      <c r="H12" s="766">
        <f>H10-H11</f>
        <v>29642.150723218969</v>
      </c>
      <c r="I12" s="767">
        <f>I10-I11</f>
        <v>29642.150723218969</v>
      </c>
    </row>
    <row r="13" spans="1:9" ht="12" thickBot="1">
      <c r="A13" s="759" t="s">
        <v>696</v>
      </c>
      <c r="B13" s="760">
        <f>B11+B12</f>
        <v>101940</v>
      </c>
      <c r="D13" s="755" t="s">
        <v>783</v>
      </c>
      <c r="E13" s="757"/>
      <c r="F13" s="757">
        <f>F9</f>
        <v>11825.039999999999</v>
      </c>
      <c r="G13" s="757">
        <f>G9</f>
        <v>11825.039999999999</v>
      </c>
      <c r="H13" s="757">
        <f>H9</f>
        <v>11825.039999999999</v>
      </c>
      <c r="I13" s="758">
        <f>I9</f>
        <v>11825.039999999999</v>
      </c>
    </row>
    <row r="14" spans="1:9">
      <c r="A14" s="747" t="s">
        <v>808</v>
      </c>
      <c r="B14" s="771">
        <f>проект!D52</f>
        <v>0.22</v>
      </c>
      <c r="D14" s="755" t="s">
        <v>809</v>
      </c>
      <c r="E14" s="757"/>
      <c r="F14" s="757"/>
      <c r="G14" s="757"/>
      <c r="H14" s="757"/>
      <c r="I14" s="758">
        <f>B5+B8</f>
        <v>54639.839999999997</v>
      </c>
    </row>
    <row r="15" spans="1:9" ht="12" thickBot="1">
      <c r="A15" s="747" t="s">
        <v>810</v>
      </c>
      <c r="B15" s="772">
        <v>3</v>
      </c>
      <c r="C15" s="747" t="s">
        <v>804</v>
      </c>
      <c r="D15" s="759" t="s">
        <v>811</v>
      </c>
      <c r="E15" s="773"/>
      <c r="F15" s="773">
        <f>F12+F13</f>
        <v>41467.19072321897</v>
      </c>
      <c r="G15" s="773">
        <f>G12+G13</f>
        <v>41467.19072321897</v>
      </c>
      <c r="H15" s="773">
        <f>H12+H13</f>
        <v>41467.19072321897</v>
      </c>
      <c r="I15" s="774">
        <f>I12+I13+I14</f>
        <v>96107.030723218966</v>
      </c>
    </row>
    <row r="16" spans="1:9" ht="12" thickBot="1">
      <c r="A16" s="747" t="s">
        <v>812</v>
      </c>
      <c r="B16" s="775">
        <f>проект!D51</f>
        <v>0.38</v>
      </c>
    </row>
    <row r="17" spans="1:9">
      <c r="D17" s="750" t="str">
        <f t="shared" ref="D17:I17" si="0">D4</f>
        <v>Год</v>
      </c>
      <c r="E17" s="753">
        <f t="shared" si="0"/>
        <v>0</v>
      </c>
      <c r="F17" s="753">
        <f t="shared" si="0"/>
        <v>1</v>
      </c>
      <c r="G17" s="753">
        <f t="shared" si="0"/>
        <v>2</v>
      </c>
      <c r="H17" s="753">
        <f t="shared" si="0"/>
        <v>3</v>
      </c>
      <c r="I17" s="754">
        <f t="shared" si="0"/>
        <v>4</v>
      </c>
    </row>
    <row r="18" spans="1:9" ht="12" thickBot="1">
      <c r="A18" s="749" t="s">
        <v>813</v>
      </c>
      <c r="D18" s="755" t="s">
        <v>814</v>
      </c>
      <c r="E18" s="757">
        <f>B6*-1</f>
        <v>-101940</v>
      </c>
      <c r="F18" s="757">
        <f>F15</f>
        <v>41467.19072321897</v>
      </c>
      <c r="G18" s="757">
        <f>G15</f>
        <v>41467.19072321897</v>
      </c>
      <c r="H18" s="757">
        <f>H15</f>
        <v>41467.19072321897</v>
      </c>
      <c r="I18" s="758">
        <f>I15</f>
        <v>96107.030723218966</v>
      </c>
    </row>
    <row r="19" spans="1:9">
      <c r="A19" s="750" t="s">
        <v>815</v>
      </c>
      <c r="B19" s="751">
        <f>проект!F18</f>
        <v>300000</v>
      </c>
      <c r="D19" s="755" t="s">
        <v>748</v>
      </c>
      <c r="E19" s="757">
        <f>E18</f>
        <v>-101940</v>
      </c>
      <c r="F19" s="757">
        <f>F18/(1+$B$16)^F17</f>
        <v>30048.688929868822</v>
      </c>
      <c r="G19" s="757">
        <f>G18/(1+$B$16)^G17</f>
        <v>21774.412268020886</v>
      </c>
      <c r="H19" s="757">
        <f>H18/(1+$B$16)^H17</f>
        <v>15778.559614507889</v>
      </c>
      <c r="I19" s="758">
        <f>I18/(1+$B$16)^I17</f>
        <v>26499.569222757436</v>
      </c>
    </row>
    <row r="20" spans="1:9" ht="12" thickBot="1">
      <c r="A20" s="755" t="s">
        <v>816</v>
      </c>
      <c r="B20" s="776">
        <f>проект!C58</f>
        <v>0.45</v>
      </c>
      <c r="D20" s="759" t="s">
        <v>749</v>
      </c>
      <c r="E20" s="773">
        <f>E18</f>
        <v>-101940</v>
      </c>
      <c r="F20" s="773">
        <f>E20+F19</f>
        <v>-71891.311070131182</v>
      </c>
      <c r="G20" s="773">
        <f>F20+G19</f>
        <v>-50116.8988021103</v>
      </c>
      <c r="H20" s="773">
        <f>G20+H19</f>
        <v>-34338.339187602411</v>
      </c>
      <c r="I20" s="774">
        <f>H20+I19</f>
        <v>-7838.7699648449743</v>
      </c>
    </row>
    <row r="21" spans="1:9" ht="12" thickBot="1">
      <c r="A21" s="759" t="s">
        <v>817</v>
      </c>
      <c r="B21" s="777">
        <f>проект!C63</f>
        <v>95400</v>
      </c>
    </row>
    <row r="22" spans="1:9" ht="12.75">
      <c r="D22" s="778" t="s">
        <v>758</v>
      </c>
    </row>
    <row r="23" spans="1:9">
      <c r="A23" s="747" t="s">
        <v>661</v>
      </c>
      <c r="B23" s="771">
        <f>проект!C22</f>
        <v>0.25146084032275323</v>
      </c>
      <c r="D23" s="779" t="s">
        <v>724</v>
      </c>
      <c r="E23" s="780">
        <f>E18+NPV(B16,F18:I18)</f>
        <v>-7838.7699648449779</v>
      </c>
      <c r="F23" s="775">
        <f>E23/B6</f>
        <v>-7.6895918823278189E-2</v>
      </c>
    </row>
    <row r="24" spans="1:9">
      <c r="D24" s="779" t="s">
        <v>725</v>
      </c>
      <c r="E24" s="781">
        <f>IRR(E18:I18)</f>
        <v>0.33539653933893021</v>
      </c>
      <c r="F24" s="771">
        <f>E24-B16</f>
        <v>-4.4603460661069794E-2</v>
      </c>
      <c r="G24" s="769" t="s">
        <v>818</v>
      </c>
      <c r="H24" s="782">
        <f>MIRR(E18:I18,B16,B16)</f>
        <v>0.35266967598232735</v>
      </c>
      <c r="I24" s="782">
        <f>H24-B16</f>
        <v>-2.7330324017672658E-2</v>
      </c>
    </row>
    <row r="25" spans="1:9">
      <c r="D25" s="779" t="s">
        <v>723</v>
      </c>
      <c r="E25" s="783">
        <f>H17+(-H20/I19)</f>
        <v>4.295807448753286</v>
      </c>
    </row>
    <row r="26" spans="1:9" s="784" customFormat="1">
      <c r="D26" s="785"/>
      <c r="E26" s="786"/>
    </row>
    <row r="27" spans="1:9">
      <c r="D27" s="748" t="s">
        <v>819</v>
      </c>
      <c r="E27" s="783"/>
    </row>
    <row r="28" spans="1:9">
      <c r="D28" s="748"/>
      <c r="E28" s="779" t="s">
        <v>820</v>
      </c>
    </row>
    <row r="29" spans="1:9">
      <c r="D29" s="787" t="s">
        <v>821</v>
      </c>
      <c r="E29" s="788">
        <v>0</v>
      </c>
      <c r="F29" s="788">
        <v>1</v>
      </c>
      <c r="G29" s="788">
        <v>2</v>
      </c>
      <c r="H29" s="788">
        <v>3</v>
      </c>
      <c r="I29" s="789"/>
    </row>
    <row r="30" spans="1:9">
      <c r="D30" s="790" t="s">
        <v>739</v>
      </c>
      <c r="E30" s="791">
        <f>B39</f>
        <v>81552</v>
      </c>
      <c r="F30" s="791">
        <f>B39</f>
        <v>81552</v>
      </c>
      <c r="G30" s="791">
        <f>F34</f>
        <v>54368</v>
      </c>
      <c r="H30" s="791">
        <f>G34</f>
        <v>27184</v>
      </c>
      <c r="I30" s="792"/>
    </row>
    <row r="31" spans="1:9">
      <c r="D31" s="793" t="s">
        <v>741</v>
      </c>
      <c r="E31" s="794">
        <f>E30*B41</f>
        <v>17941.439999999999</v>
      </c>
      <c r="F31" s="791">
        <f>F30*$B$41</f>
        <v>17941.439999999999</v>
      </c>
      <c r="G31" s="791">
        <f>G30*$B$41</f>
        <v>11960.960000000001</v>
      </c>
      <c r="H31" s="791">
        <f>H30*$B$41</f>
        <v>5980.4800000000005</v>
      </c>
      <c r="I31" s="792"/>
    </row>
    <row r="32" spans="1:9">
      <c r="D32" s="793" t="s">
        <v>740</v>
      </c>
      <c r="E32" s="794"/>
      <c r="F32" s="791">
        <f>$B$39/$B$15</f>
        <v>27184</v>
      </c>
      <c r="G32" s="791">
        <f>$B$39/$B$15</f>
        <v>27184</v>
      </c>
      <c r="H32" s="791">
        <f>$B$39/$B$15</f>
        <v>27184</v>
      </c>
      <c r="I32" s="792"/>
    </row>
    <row r="33" spans="1:9">
      <c r="D33" s="793" t="s">
        <v>742</v>
      </c>
      <c r="E33" s="794"/>
      <c r="F33" s="795">
        <f>F31+F32</f>
        <v>45125.440000000002</v>
      </c>
      <c r="G33" s="795">
        <f>G31+G32</f>
        <v>39144.959999999999</v>
      </c>
      <c r="H33" s="795">
        <f>H31+H32</f>
        <v>33164.480000000003</v>
      </c>
      <c r="I33" s="792"/>
    </row>
    <row r="34" spans="1:9">
      <c r="D34" s="793" t="s">
        <v>743</v>
      </c>
      <c r="E34" s="791">
        <f>B39</f>
        <v>81552</v>
      </c>
      <c r="F34" s="791">
        <f>F30-F32</f>
        <v>54368</v>
      </c>
      <c r="G34" s="791">
        <f>G30-G32</f>
        <v>27184</v>
      </c>
      <c r="H34" s="791">
        <f>H30-H32</f>
        <v>0</v>
      </c>
      <c r="I34" s="792"/>
    </row>
    <row r="36" spans="1:9" ht="12" thickBot="1">
      <c r="A36" s="769" t="str">
        <f>IF(ABS(B40-B6)&gt;0.001,"Сумма инвестиций должна равняться сумме финансирования","   ")</f>
        <v xml:space="preserve">   </v>
      </c>
      <c r="D36" s="749" t="s">
        <v>798</v>
      </c>
    </row>
    <row r="37" spans="1:9" ht="12" thickBot="1">
      <c r="A37" s="749" t="s">
        <v>807</v>
      </c>
      <c r="D37" s="752" t="s">
        <v>577</v>
      </c>
      <c r="E37" s="753">
        <v>0</v>
      </c>
      <c r="F37" s="753">
        <v>1</v>
      </c>
      <c r="G37" s="753">
        <v>2</v>
      </c>
      <c r="H37" s="753">
        <v>3</v>
      </c>
      <c r="I37" s="754">
        <v>4</v>
      </c>
    </row>
    <row r="38" spans="1:9">
      <c r="A38" s="750" t="s">
        <v>694</v>
      </c>
      <c r="B38" s="751">
        <f>B11</f>
        <v>20387.999999999996</v>
      </c>
      <c r="D38" s="755" t="s">
        <v>801</v>
      </c>
      <c r="E38" s="757"/>
      <c r="F38" s="757">
        <f>F5</f>
        <v>300000</v>
      </c>
      <c r="G38" s="757">
        <f>G5</f>
        <v>300000</v>
      </c>
      <c r="H38" s="757">
        <f>H5</f>
        <v>300000</v>
      </c>
      <c r="I38" s="758">
        <f>I5</f>
        <v>300000</v>
      </c>
    </row>
    <row r="39" spans="1:9">
      <c r="A39" s="755" t="s">
        <v>695</v>
      </c>
      <c r="B39" s="756">
        <f>B12</f>
        <v>81552</v>
      </c>
      <c r="D39" s="755" t="s">
        <v>779</v>
      </c>
      <c r="E39" s="757"/>
      <c r="F39" s="757">
        <f t="shared" ref="F39:I42" si="1">F6</f>
        <v>165000</v>
      </c>
      <c r="G39" s="757">
        <f t="shared" si="1"/>
        <v>165000</v>
      </c>
      <c r="H39" s="757">
        <f t="shared" si="1"/>
        <v>165000</v>
      </c>
      <c r="I39" s="758">
        <f t="shared" si="1"/>
        <v>165000</v>
      </c>
    </row>
    <row r="40" spans="1:9" ht="12" thickBot="1">
      <c r="A40" s="759" t="s">
        <v>696</v>
      </c>
      <c r="B40" s="760">
        <f>B38+B39</f>
        <v>101940</v>
      </c>
      <c r="D40" s="765" t="s">
        <v>805</v>
      </c>
      <c r="E40" s="766"/>
      <c r="F40" s="766">
        <f t="shared" si="1"/>
        <v>135000</v>
      </c>
      <c r="G40" s="766">
        <f t="shared" si="1"/>
        <v>135000</v>
      </c>
      <c r="H40" s="766">
        <f t="shared" si="1"/>
        <v>135000</v>
      </c>
      <c r="I40" s="767">
        <f t="shared" si="1"/>
        <v>135000</v>
      </c>
    </row>
    <row r="41" spans="1:9">
      <c r="A41" s="747" t="s">
        <v>808</v>
      </c>
      <c r="B41" s="771">
        <f>B14</f>
        <v>0.22</v>
      </c>
      <c r="D41" s="755" t="s">
        <v>781</v>
      </c>
      <c r="E41" s="757"/>
      <c r="F41" s="757">
        <f t="shared" si="1"/>
        <v>83574.960000000006</v>
      </c>
      <c r="G41" s="757">
        <f t="shared" si="1"/>
        <v>83574.960000000006</v>
      </c>
      <c r="H41" s="757">
        <f t="shared" si="1"/>
        <v>83574.960000000006</v>
      </c>
      <c r="I41" s="758">
        <f t="shared" si="1"/>
        <v>83574.960000000006</v>
      </c>
    </row>
    <row r="42" spans="1:9">
      <c r="A42" s="747" t="s">
        <v>810</v>
      </c>
      <c r="B42" s="772">
        <v>3</v>
      </c>
      <c r="D42" s="755" t="s">
        <v>289</v>
      </c>
      <c r="E42" s="757"/>
      <c r="F42" s="757">
        <f t="shared" si="1"/>
        <v>11825.039999999999</v>
      </c>
      <c r="G42" s="757">
        <f t="shared" si="1"/>
        <v>11825.039999999999</v>
      </c>
      <c r="H42" s="757">
        <f t="shared" si="1"/>
        <v>11825.039999999999</v>
      </c>
      <c r="I42" s="758">
        <f t="shared" si="1"/>
        <v>11825.039999999999</v>
      </c>
    </row>
    <row r="43" spans="1:9">
      <c r="A43" s="747" t="s">
        <v>812</v>
      </c>
      <c r="B43" s="775">
        <f>B16</f>
        <v>0.38</v>
      </c>
      <c r="D43" s="765" t="s">
        <v>672</v>
      </c>
      <c r="E43" s="766"/>
      <c r="F43" s="766">
        <f>F40-F41-F42</f>
        <v>39599.999999999993</v>
      </c>
      <c r="G43" s="766">
        <f>G40-G41-G42</f>
        <v>39599.999999999993</v>
      </c>
      <c r="H43" s="766">
        <f>H40-H41-H42</f>
        <v>39599.999999999993</v>
      </c>
      <c r="I43" s="767">
        <f>I40-I41-I42</f>
        <v>39599.999999999993</v>
      </c>
    </row>
    <row r="44" spans="1:9">
      <c r="A44" s="747" t="s">
        <v>822</v>
      </c>
      <c r="B44" s="796">
        <f>((B38*B43)+(B39*(B41*(1-B23))))/B40</f>
        <v>0.20774289210319544</v>
      </c>
      <c r="D44" s="797" t="s">
        <v>673</v>
      </c>
      <c r="E44" s="798"/>
      <c r="F44" s="798">
        <f>F31</f>
        <v>17941.439999999999</v>
      </c>
      <c r="G44" s="798">
        <f>G31</f>
        <v>11960.960000000001</v>
      </c>
      <c r="H44" s="798">
        <f>H31</f>
        <v>5980.4800000000005</v>
      </c>
      <c r="I44" s="799"/>
    </row>
    <row r="45" spans="1:9">
      <c r="D45" s="755" t="s">
        <v>823</v>
      </c>
      <c r="E45" s="757"/>
      <c r="F45" s="757">
        <f>F43-F44</f>
        <v>21658.559999999994</v>
      </c>
      <c r="G45" s="757">
        <f>G43-G44</f>
        <v>27639.039999999994</v>
      </c>
      <c r="H45" s="757">
        <f>H43-H44</f>
        <v>33619.51999999999</v>
      </c>
      <c r="I45" s="758">
        <f>I43-I44</f>
        <v>39599.999999999993</v>
      </c>
    </row>
    <row r="46" spans="1:9">
      <c r="D46" s="800" t="s">
        <v>288</v>
      </c>
      <c r="E46" s="757"/>
      <c r="F46" s="757">
        <f>F45*$B$43</f>
        <v>8230.2527999999984</v>
      </c>
      <c r="G46" s="757">
        <f>G45*$B$43</f>
        <v>10502.835199999998</v>
      </c>
      <c r="H46" s="757">
        <f>H45*$B$43</f>
        <v>12775.417599999997</v>
      </c>
      <c r="I46" s="758">
        <f>I45*$B$43</f>
        <v>15047.999999999998</v>
      </c>
    </row>
    <row r="47" spans="1:9">
      <c r="D47" s="765" t="s">
        <v>500</v>
      </c>
      <c r="E47" s="766"/>
      <c r="F47" s="766">
        <f>F45-F46</f>
        <v>13428.307199999996</v>
      </c>
      <c r="G47" s="766">
        <f>G45-G46</f>
        <v>17136.204799999996</v>
      </c>
      <c r="H47" s="766">
        <f>H45-H46</f>
        <v>20844.102399999992</v>
      </c>
      <c r="I47" s="767">
        <f>I45-I46</f>
        <v>24551.999999999993</v>
      </c>
    </row>
    <row r="48" spans="1:9">
      <c r="D48" s="755" t="s">
        <v>783</v>
      </c>
      <c r="E48" s="757"/>
      <c r="F48" s="757">
        <f>F42</f>
        <v>11825.039999999999</v>
      </c>
      <c r="G48" s="757">
        <f>G42</f>
        <v>11825.039999999999</v>
      </c>
      <c r="H48" s="757">
        <f>H42</f>
        <v>11825.039999999999</v>
      </c>
      <c r="I48" s="758">
        <f>I42</f>
        <v>11825.039999999999</v>
      </c>
    </row>
    <row r="49" spans="4:9">
      <c r="D49" s="755" t="s">
        <v>824</v>
      </c>
      <c r="E49" s="757"/>
      <c r="F49" s="757">
        <f>F32</f>
        <v>27184</v>
      </c>
      <c r="G49" s="757">
        <f>G32</f>
        <v>27184</v>
      </c>
      <c r="H49" s="757">
        <f>H32</f>
        <v>27184</v>
      </c>
      <c r="I49" s="758"/>
    </row>
    <row r="50" spans="4:9">
      <c r="D50" s="755" t="s">
        <v>809</v>
      </c>
      <c r="E50" s="757"/>
      <c r="F50" s="757"/>
      <c r="G50" s="757"/>
      <c r="H50" s="757"/>
      <c r="I50" s="758">
        <f>B5+B8</f>
        <v>54639.839999999997</v>
      </c>
    </row>
    <row r="51" spans="4:9" ht="12" thickBot="1">
      <c r="D51" s="759" t="s">
        <v>825</v>
      </c>
      <c r="E51" s="773"/>
      <c r="F51" s="773">
        <f>F47+F48-F49</f>
        <v>-1930.6528000000035</v>
      </c>
      <c r="G51" s="773">
        <f>G47+G48-G49</f>
        <v>1777.2447999999931</v>
      </c>
      <c r="H51" s="773">
        <f>H47+H48-H49</f>
        <v>5485.1423999999897</v>
      </c>
      <c r="I51" s="774">
        <f>I47+I48-I49+I50</f>
        <v>91016.87999999999</v>
      </c>
    </row>
    <row r="52" spans="4:9" ht="12" thickBot="1"/>
    <row r="53" spans="4:9">
      <c r="D53" s="750" t="str">
        <f t="shared" ref="D53:I53" si="2">D37</f>
        <v>Год</v>
      </c>
      <c r="E53" s="753">
        <f t="shared" si="2"/>
        <v>0</v>
      </c>
      <c r="F53" s="753">
        <f t="shared" si="2"/>
        <v>1</v>
      </c>
      <c r="G53" s="753">
        <f t="shared" si="2"/>
        <v>2</v>
      </c>
      <c r="H53" s="753">
        <f t="shared" si="2"/>
        <v>3</v>
      </c>
      <c r="I53" s="754">
        <f t="shared" si="2"/>
        <v>4</v>
      </c>
    </row>
    <row r="54" spans="4:9">
      <c r="D54" s="755" t="s">
        <v>814</v>
      </c>
      <c r="E54" s="757">
        <f>(B38+E31)*-1</f>
        <v>-38329.439999999995</v>
      </c>
      <c r="F54" s="757">
        <f>F51</f>
        <v>-1930.6528000000035</v>
      </c>
      <c r="G54" s="757">
        <f>G51</f>
        <v>1777.2447999999931</v>
      </c>
      <c r="H54" s="757">
        <f>H51</f>
        <v>5485.1423999999897</v>
      </c>
      <c r="I54" s="758">
        <f>I51</f>
        <v>91016.87999999999</v>
      </c>
    </row>
    <row r="55" spans="4:9">
      <c r="D55" s="755" t="s">
        <v>748</v>
      </c>
      <c r="E55" s="757">
        <f>E54</f>
        <v>-38329.439999999995</v>
      </c>
      <c r="F55" s="757">
        <f>F54/(1+$B$43)^F53</f>
        <v>-1399.0237681159447</v>
      </c>
      <c r="G55" s="757">
        <f>G54/(1+$B$43)^G53</f>
        <v>933.23083385842961</v>
      </c>
      <c r="H55" s="757">
        <f>H54/(1+$B$43)^H53</f>
        <v>2087.1355122690666</v>
      </c>
      <c r="I55" s="758">
        <f>I54/(1+$B$43)^I53</f>
        <v>25096.063148028377</v>
      </c>
    </row>
    <row r="56" spans="4:9" ht="12" thickBot="1">
      <c r="D56" s="759" t="s">
        <v>749</v>
      </c>
      <c r="E56" s="773">
        <f>E54</f>
        <v>-38329.439999999995</v>
      </c>
      <c r="F56" s="773">
        <f>E56+F55</f>
        <v>-39728.463768115937</v>
      </c>
      <c r="G56" s="773">
        <f>F56+G55</f>
        <v>-38795.23293425751</v>
      </c>
      <c r="H56" s="773">
        <f>G56+H55</f>
        <v>-36708.097421988445</v>
      </c>
      <c r="I56" s="774">
        <f>H56+I55</f>
        <v>-11612.034273960067</v>
      </c>
    </row>
    <row r="58" spans="4:9" ht="12.75">
      <c r="D58" s="778" t="s">
        <v>758</v>
      </c>
    </row>
    <row r="59" spans="4:9">
      <c r="D59" s="779" t="s">
        <v>724</v>
      </c>
      <c r="E59" s="780">
        <f>E54+NPV(B43,F54:I54)</f>
        <v>-11612.034273960067</v>
      </c>
      <c r="F59" s="775">
        <f>E59/E54*-1</f>
        <v>-0.30295340276195187</v>
      </c>
    </row>
    <row r="60" spans="4:9">
      <c r="D60" s="779" t="s">
        <v>725</v>
      </c>
      <c r="E60" s="781">
        <f>IRR(E54:I54)</f>
        <v>0.26091207260103988</v>
      </c>
      <c r="F60" s="771">
        <f>E60-B43</f>
        <v>-0.11908792739896013</v>
      </c>
      <c r="G60" s="769" t="s">
        <v>818</v>
      </c>
      <c r="H60" s="782">
        <f>MIRR(E54:I54,B43,B43)</f>
        <v>0.26573761213769642</v>
      </c>
      <c r="I60" s="782">
        <f>H60-B43</f>
        <v>-0.11426238786230358</v>
      </c>
    </row>
    <row r="61" spans="4:9">
      <c r="D61" s="779" t="s">
        <v>723</v>
      </c>
      <c r="E61" s="783">
        <f>H53+(-H56/I55)</f>
        <v>4.462703421069147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0"/>
  <sheetViews>
    <sheetView zoomScale="70" zoomScaleNormal="70" workbookViewId="0">
      <pane xSplit="1" ySplit="13" topLeftCell="AA106" activePane="bottomRight" state="frozen"/>
      <selection pane="topRight" activeCell="B1" sqref="B1"/>
      <selection pane="bottomLeft" activeCell="A15" sqref="A15"/>
      <selection pane="bottomRight" activeCell="AE9" sqref="AE9"/>
    </sheetView>
  </sheetViews>
  <sheetFormatPr defaultRowHeight="15" outlineLevelRow="1" outlineLevelCol="1"/>
  <cols>
    <col min="1" max="1" width="56" customWidth="1"/>
    <col min="2" max="2" width="19.42578125" customWidth="1" outlineLevel="1"/>
    <col min="3" max="3" width="16.140625" customWidth="1" outlineLevel="1"/>
    <col min="4" max="4" width="20.85546875" customWidth="1" outlineLevel="1"/>
    <col min="5" max="5" width="16.85546875" customWidth="1" outlineLevel="1"/>
    <col min="6" max="6" width="20.140625" customWidth="1" outlineLevel="1"/>
    <col min="7" max="7" width="16.85546875" customWidth="1" outlineLevel="1"/>
    <col min="8" max="8" width="19.5703125" customWidth="1" outlineLevel="1"/>
    <col min="9" max="9" width="16.85546875" customWidth="1" outlineLevel="1"/>
    <col min="10" max="10" width="20.42578125" customWidth="1" outlineLevel="1"/>
    <col min="11" max="11" width="16.85546875" customWidth="1" outlineLevel="1"/>
    <col min="12" max="12" width="21.7109375" customWidth="1" outlineLevel="1"/>
    <col min="13" max="13" width="16.85546875" customWidth="1" outlineLevel="1"/>
    <col min="14" max="14" width="21.5703125" customWidth="1" outlineLevel="1"/>
    <col min="15" max="15" width="16.85546875" customWidth="1" outlineLevel="1"/>
    <col min="16" max="16" width="21.7109375" customWidth="1" outlineLevel="1"/>
    <col min="17" max="17" width="16.85546875" customWidth="1" outlineLevel="1"/>
    <col min="18" max="18" width="22.42578125" customWidth="1" outlineLevel="1"/>
    <col min="19" max="19" width="16.85546875" customWidth="1" outlineLevel="1"/>
    <col min="20" max="20" width="23.42578125" customWidth="1" outlineLevel="1"/>
    <col min="21" max="21" width="16.85546875" customWidth="1" outlineLevel="1"/>
    <col min="22" max="22" width="22" customWidth="1" outlineLevel="1"/>
    <col min="23" max="23" width="16.85546875" customWidth="1" outlineLevel="1"/>
    <col min="24" max="24" width="21.5703125" customWidth="1" outlineLevel="1"/>
    <col min="25" max="25" width="16.85546875" customWidth="1" outlineLevel="1"/>
    <col min="26" max="26" width="24.42578125" customWidth="1"/>
    <col min="27" max="27" width="15.28515625" customWidth="1"/>
    <col min="28" max="28" width="14.42578125" customWidth="1"/>
    <col min="29" max="29" width="38.5703125" customWidth="1"/>
    <col min="30" max="30" width="19.5703125" customWidth="1"/>
  </cols>
  <sheetData>
    <row r="1" spans="1:30" ht="31.5">
      <c r="A1" s="899" t="s">
        <v>458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N1" s="899"/>
      <c r="O1" s="899"/>
      <c r="P1" s="899"/>
      <c r="Q1" s="899"/>
      <c r="R1" s="899"/>
      <c r="S1" s="899"/>
      <c r="T1" s="899"/>
      <c r="U1" s="899"/>
      <c r="V1" s="899"/>
      <c r="W1" s="899"/>
      <c r="X1" s="899"/>
      <c r="Y1" s="899"/>
      <c r="Z1" s="899"/>
      <c r="AA1" s="899"/>
    </row>
    <row r="2" spans="1:30" ht="21" customHeight="1" thickBot="1">
      <c r="A2" s="900" t="s">
        <v>616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0"/>
      <c r="T2" s="900"/>
      <c r="U2" s="900"/>
      <c r="V2" s="900"/>
      <c r="W2" s="900"/>
      <c r="X2" s="900"/>
      <c r="Y2" s="900"/>
      <c r="Z2" s="900"/>
      <c r="AA2" s="900"/>
    </row>
    <row r="3" spans="1:30" ht="19.5" hidden="1" customHeight="1" thickBot="1">
      <c r="B3" s="19">
        <v>653915.33333333337</v>
      </c>
      <c r="D3" s="19">
        <v>882083.33333333337</v>
      </c>
      <c r="F3" s="19">
        <v>1132843.3333333333</v>
      </c>
      <c r="H3" s="19">
        <v>1376153.3333333333</v>
      </c>
      <c r="J3" s="19">
        <v>1619646.6666666667</v>
      </c>
      <c r="L3" s="19">
        <v>1863006.6666666667</v>
      </c>
      <c r="N3" s="19">
        <v>2129117.3333333335</v>
      </c>
      <c r="P3" s="19">
        <v>2401994.6666666665</v>
      </c>
      <c r="R3" s="19">
        <v>2645354.6666666665</v>
      </c>
      <c r="T3" s="19">
        <v>2888714.6666666665</v>
      </c>
      <c r="V3" s="19">
        <v>3132074.6666666665</v>
      </c>
      <c r="X3" s="19">
        <v>3453490.6666666665</v>
      </c>
      <c r="Z3" s="19">
        <v>24178395.333333332</v>
      </c>
    </row>
    <row r="4" spans="1:30" ht="21.75" customHeight="1" thickBot="1">
      <c r="A4" s="901" t="s">
        <v>459</v>
      </c>
      <c r="B4" s="897" t="s">
        <v>618</v>
      </c>
      <c r="C4" s="898"/>
      <c r="D4" s="897" t="s">
        <v>617</v>
      </c>
      <c r="E4" s="898"/>
      <c r="F4" s="897" t="s">
        <v>475</v>
      </c>
      <c r="G4" s="898"/>
      <c r="H4" s="897" t="s">
        <v>476</v>
      </c>
      <c r="I4" s="898"/>
      <c r="J4" s="897" t="s">
        <v>477</v>
      </c>
      <c r="K4" s="898"/>
      <c r="L4" s="897" t="s">
        <v>478</v>
      </c>
      <c r="M4" s="898"/>
      <c r="N4" s="897" t="s">
        <v>479</v>
      </c>
      <c r="O4" s="898"/>
      <c r="P4" s="897" t="s">
        <v>480</v>
      </c>
      <c r="Q4" s="898"/>
      <c r="R4" s="897" t="s">
        <v>481</v>
      </c>
      <c r="S4" s="898"/>
      <c r="T4" s="897" t="s">
        <v>482</v>
      </c>
      <c r="U4" s="898"/>
      <c r="V4" s="897" t="s">
        <v>483</v>
      </c>
      <c r="W4" s="898"/>
      <c r="X4" s="897" t="s">
        <v>484</v>
      </c>
      <c r="Y4" s="898"/>
      <c r="Z4" s="897" t="s">
        <v>641</v>
      </c>
      <c r="AA4" s="898"/>
      <c r="AC4" s="897" t="s">
        <v>826</v>
      </c>
      <c r="AD4" s="898"/>
    </row>
    <row r="5" spans="1:30" ht="29.25" customHeight="1" thickBot="1">
      <c r="A5" s="902"/>
      <c r="B5" s="22" t="s">
        <v>460</v>
      </c>
      <c r="C5" s="23" t="s">
        <v>461</v>
      </c>
      <c r="D5" s="22" t="s">
        <v>460</v>
      </c>
      <c r="E5" s="23" t="s">
        <v>461</v>
      </c>
      <c r="F5" s="22" t="s">
        <v>460</v>
      </c>
      <c r="G5" s="23" t="s">
        <v>461</v>
      </c>
      <c r="H5" s="22" t="s">
        <v>460</v>
      </c>
      <c r="I5" s="23" t="s">
        <v>461</v>
      </c>
      <c r="J5" s="22" t="s">
        <v>460</v>
      </c>
      <c r="K5" s="23" t="s">
        <v>461</v>
      </c>
      <c r="L5" s="22" t="s">
        <v>460</v>
      </c>
      <c r="M5" s="23" t="s">
        <v>461</v>
      </c>
      <c r="N5" s="22" t="s">
        <v>460</v>
      </c>
      <c r="O5" s="23" t="s">
        <v>461</v>
      </c>
      <c r="P5" s="22" t="s">
        <v>460</v>
      </c>
      <c r="Q5" s="23" t="s">
        <v>461</v>
      </c>
      <c r="R5" s="22" t="s">
        <v>460</v>
      </c>
      <c r="S5" s="23" t="s">
        <v>461</v>
      </c>
      <c r="T5" s="22" t="s">
        <v>460</v>
      </c>
      <c r="U5" s="23" t="s">
        <v>461</v>
      </c>
      <c r="V5" s="22" t="s">
        <v>460</v>
      </c>
      <c r="W5" s="23" t="s">
        <v>461</v>
      </c>
      <c r="X5" s="22" t="s">
        <v>460</v>
      </c>
      <c r="Y5" s="23" t="s">
        <v>461</v>
      </c>
      <c r="Z5" s="22" t="s">
        <v>460</v>
      </c>
      <c r="AA5" s="23" t="s">
        <v>461</v>
      </c>
      <c r="AC5" s="22" t="s">
        <v>460</v>
      </c>
      <c r="AD5" s="23" t="s">
        <v>461</v>
      </c>
    </row>
    <row r="6" spans="1:30" ht="15.75" hidden="1" customHeight="1">
      <c r="A6" s="24" t="s">
        <v>453</v>
      </c>
      <c r="B6" s="25"/>
      <c r="C6" s="26"/>
      <c r="D6" s="25"/>
      <c r="E6" s="26"/>
      <c r="F6" s="25"/>
      <c r="G6" s="26"/>
      <c r="H6" s="25"/>
      <c r="I6" s="26"/>
      <c r="J6" s="25"/>
      <c r="K6" s="26"/>
      <c r="L6" s="25"/>
      <c r="M6" s="26"/>
      <c r="N6" s="25"/>
      <c r="O6" s="26"/>
      <c r="P6" s="25"/>
      <c r="Q6" s="26"/>
      <c r="R6" s="25"/>
      <c r="S6" s="26"/>
      <c r="T6" s="25"/>
      <c r="U6" s="26"/>
      <c r="V6" s="25"/>
      <c r="W6" s="26"/>
      <c r="X6" s="25"/>
      <c r="Y6" s="26"/>
      <c r="Z6" s="25">
        <v>0</v>
      </c>
      <c r="AA6" s="26"/>
      <c r="AC6" s="25"/>
      <c r="AD6" s="26"/>
    </row>
    <row r="7" spans="1:30" s="29" customFormat="1" ht="15.75">
      <c r="A7" s="24" t="s">
        <v>452</v>
      </c>
      <c r="B7" s="27">
        <v>12000</v>
      </c>
      <c r="C7" s="28"/>
      <c r="D7" s="27">
        <v>18000</v>
      </c>
      <c r="E7" s="28"/>
      <c r="F7" s="27">
        <v>24000</v>
      </c>
      <c r="G7" s="28"/>
      <c r="H7" s="27">
        <v>30000</v>
      </c>
      <c r="I7" s="28"/>
      <c r="J7" s="27">
        <v>36000</v>
      </c>
      <c r="K7" s="28"/>
      <c r="L7" s="27">
        <v>42000</v>
      </c>
      <c r="M7" s="28"/>
      <c r="N7" s="27">
        <v>48000</v>
      </c>
      <c r="O7" s="28"/>
      <c r="P7" s="27">
        <v>54000</v>
      </c>
      <c r="Q7" s="28"/>
      <c r="R7" s="27">
        <v>60000</v>
      </c>
      <c r="S7" s="28"/>
      <c r="T7" s="27">
        <v>66000</v>
      </c>
      <c r="U7" s="28"/>
      <c r="V7" s="27">
        <v>72000</v>
      </c>
      <c r="W7" s="28"/>
      <c r="X7" s="27">
        <v>80000</v>
      </c>
      <c r="Y7" s="28"/>
      <c r="Z7" s="27">
        <v>542000</v>
      </c>
      <c r="AA7" s="28"/>
      <c r="AC7" s="27">
        <v>960000</v>
      </c>
      <c r="AD7" s="28"/>
    </row>
    <row r="8" spans="1:30" ht="6.7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C8" s="12"/>
      <c r="AD8" s="12"/>
    </row>
    <row r="9" spans="1:30" ht="21.75" customHeight="1" thickBot="1">
      <c r="A9" s="30" t="s">
        <v>449</v>
      </c>
      <c r="B9" s="31">
        <v>540000</v>
      </c>
      <c r="C9" s="32">
        <v>0</v>
      </c>
      <c r="D9" s="31">
        <v>810000</v>
      </c>
      <c r="E9" s="32">
        <v>0</v>
      </c>
      <c r="F9" s="31">
        <v>1080000</v>
      </c>
      <c r="G9" s="32">
        <v>0</v>
      </c>
      <c r="H9" s="31">
        <v>1350000</v>
      </c>
      <c r="I9" s="32">
        <v>0</v>
      </c>
      <c r="J9" s="31">
        <v>1620000</v>
      </c>
      <c r="K9" s="32">
        <v>0</v>
      </c>
      <c r="L9" s="31">
        <v>1890000</v>
      </c>
      <c r="M9" s="32">
        <v>0</v>
      </c>
      <c r="N9" s="31">
        <v>2160000</v>
      </c>
      <c r="O9" s="32">
        <v>0</v>
      </c>
      <c r="P9" s="31">
        <v>2430000</v>
      </c>
      <c r="Q9" s="32">
        <v>0</v>
      </c>
      <c r="R9" s="31">
        <v>2700000</v>
      </c>
      <c r="S9" s="32">
        <v>0</v>
      </c>
      <c r="T9" s="31">
        <v>2970000</v>
      </c>
      <c r="U9" s="32">
        <v>0</v>
      </c>
      <c r="V9" s="31">
        <v>3240000</v>
      </c>
      <c r="W9" s="32">
        <v>0</v>
      </c>
      <c r="X9" s="31">
        <v>3600000</v>
      </c>
      <c r="Y9" s="32">
        <v>0</v>
      </c>
      <c r="Z9" s="31">
        <v>24390000</v>
      </c>
      <c r="AA9" s="32">
        <v>0</v>
      </c>
      <c r="AC9" s="31">
        <v>43200000</v>
      </c>
      <c r="AD9" s="32">
        <v>0</v>
      </c>
    </row>
    <row r="10" spans="1:30" ht="21.75" thickBot="1">
      <c r="A10" s="33" t="s">
        <v>448</v>
      </c>
      <c r="B10" s="31">
        <v>540000</v>
      </c>
      <c r="C10" s="32">
        <v>1</v>
      </c>
      <c r="D10" s="31">
        <v>810000</v>
      </c>
      <c r="E10" s="32">
        <v>1</v>
      </c>
      <c r="F10" s="31">
        <v>1080000</v>
      </c>
      <c r="G10" s="32">
        <v>1</v>
      </c>
      <c r="H10" s="31">
        <v>1350000</v>
      </c>
      <c r="I10" s="32">
        <v>1</v>
      </c>
      <c r="J10" s="31">
        <v>1620000</v>
      </c>
      <c r="K10" s="32">
        <v>1</v>
      </c>
      <c r="L10" s="31">
        <v>1890000</v>
      </c>
      <c r="M10" s="32">
        <v>1</v>
      </c>
      <c r="N10" s="31">
        <v>2160000</v>
      </c>
      <c r="O10" s="32">
        <v>1</v>
      </c>
      <c r="P10" s="31">
        <v>2430000</v>
      </c>
      <c r="Q10" s="32">
        <v>1</v>
      </c>
      <c r="R10" s="31">
        <v>2700000</v>
      </c>
      <c r="S10" s="32">
        <v>1</v>
      </c>
      <c r="T10" s="31">
        <v>2970000</v>
      </c>
      <c r="U10" s="32">
        <v>1</v>
      </c>
      <c r="V10" s="31">
        <v>3240000</v>
      </c>
      <c r="W10" s="32">
        <v>1</v>
      </c>
      <c r="X10" s="31">
        <v>3600000</v>
      </c>
      <c r="Y10" s="32">
        <v>1</v>
      </c>
      <c r="Z10" s="31">
        <v>24390000</v>
      </c>
      <c r="AA10" s="32">
        <v>1</v>
      </c>
      <c r="AC10" s="31">
        <v>43200000</v>
      </c>
      <c r="AD10" s="32">
        <v>1</v>
      </c>
    </row>
    <row r="11" spans="1:30" ht="16.5" thickBot="1">
      <c r="A11" s="34" t="s">
        <v>462</v>
      </c>
      <c r="B11" s="35">
        <v>0</v>
      </c>
      <c r="C11" s="36">
        <v>0</v>
      </c>
      <c r="D11" s="35">
        <v>0</v>
      </c>
      <c r="E11" s="36">
        <v>0</v>
      </c>
      <c r="F11" s="35">
        <v>0</v>
      </c>
      <c r="G11" s="36">
        <v>0</v>
      </c>
      <c r="H11" s="35">
        <v>0</v>
      </c>
      <c r="I11" s="36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T11" s="35">
        <v>0</v>
      </c>
      <c r="U11" s="36">
        <v>0</v>
      </c>
      <c r="V11" s="35">
        <v>0</v>
      </c>
      <c r="W11" s="36">
        <v>0</v>
      </c>
      <c r="X11" s="35">
        <v>0</v>
      </c>
      <c r="Y11" s="36">
        <v>0</v>
      </c>
      <c r="Z11" s="35">
        <v>0</v>
      </c>
      <c r="AA11" s="36">
        <v>0</v>
      </c>
      <c r="AC11" s="35">
        <v>0</v>
      </c>
      <c r="AD11" s="36">
        <v>0</v>
      </c>
    </row>
    <row r="12" spans="1:30" ht="16.5" thickBot="1">
      <c r="A12" s="37" t="s">
        <v>463</v>
      </c>
      <c r="B12" s="35"/>
      <c r="C12" s="36">
        <v>0.71111111111111114</v>
      </c>
      <c r="D12" s="35"/>
      <c r="E12" s="36">
        <v>0.71111111111111114</v>
      </c>
      <c r="F12" s="35"/>
      <c r="G12" s="36">
        <v>0.71111111111111114</v>
      </c>
      <c r="H12" s="35"/>
      <c r="I12" s="36">
        <v>0.71111111111111114</v>
      </c>
      <c r="J12" s="35"/>
      <c r="K12" s="36">
        <v>0.71111111111111114</v>
      </c>
      <c r="L12" s="35"/>
      <c r="M12" s="36">
        <v>0.71111111111111114</v>
      </c>
      <c r="N12" s="35"/>
      <c r="O12" s="36">
        <v>0.71111111111111114</v>
      </c>
      <c r="P12" s="35"/>
      <c r="Q12" s="36">
        <v>0.71111111111111114</v>
      </c>
      <c r="R12" s="35"/>
      <c r="S12" s="36">
        <v>0.71111111111111114</v>
      </c>
      <c r="T12" s="35"/>
      <c r="U12" s="36">
        <v>0.71111111111111114</v>
      </c>
      <c r="V12" s="35"/>
      <c r="W12" s="36">
        <v>0.71111111111111114</v>
      </c>
      <c r="X12" s="35"/>
      <c r="Y12" s="36">
        <v>0.71111111111111114</v>
      </c>
      <c r="Z12" s="35"/>
      <c r="AA12" s="36">
        <v>0.71111111111111114</v>
      </c>
      <c r="AC12" s="35">
        <v>0</v>
      </c>
      <c r="AD12" s="36">
        <v>0.71111111111111114</v>
      </c>
    </row>
    <row r="13" spans="1:30" ht="21.75" thickBot="1">
      <c r="A13" s="38" t="s">
        <v>292</v>
      </c>
      <c r="B13" s="39">
        <v>384000</v>
      </c>
      <c r="C13" s="40">
        <v>0.71111111111111114</v>
      </c>
      <c r="D13" s="39">
        <v>576000</v>
      </c>
      <c r="E13" s="40">
        <v>0.71111111111111114</v>
      </c>
      <c r="F13" s="39">
        <v>768000</v>
      </c>
      <c r="G13" s="40">
        <v>0.71111111111111114</v>
      </c>
      <c r="H13" s="39">
        <v>960000</v>
      </c>
      <c r="I13" s="40">
        <v>0.71111111111111114</v>
      </c>
      <c r="J13" s="39">
        <v>1152000</v>
      </c>
      <c r="K13" s="40">
        <v>0.71111111111111114</v>
      </c>
      <c r="L13" s="39">
        <v>1344000</v>
      </c>
      <c r="M13" s="40">
        <v>0.71111111111111114</v>
      </c>
      <c r="N13" s="39">
        <v>1536000</v>
      </c>
      <c r="O13" s="40">
        <v>0.71111111111111114</v>
      </c>
      <c r="P13" s="39">
        <v>1728000</v>
      </c>
      <c r="Q13" s="40">
        <v>0.71111111111111114</v>
      </c>
      <c r="R13" s="39">
        <v>1920000</v>
      </c>
      <c r="S13" s="40">
        <v>0.71111111111111114</v>
      </c>
      <c r="T13" s="39">
        <v>2112000</v>
      </c>
      <c r="U13" s="40">
        <v>0.71111111111111114</v>
      </c>
      <c r="V13" s="39">
        <v>2304000</v>
      </c>
      <c r="W13" s="40">
        <v>0.71111111111111114</v>
      </c>
      <c r="X13" s="39">
        <v>2560000</v>
      </c>
      <c r="Y13" s="40">
        <v>0.71111111111111114</v>
      </c>
      <c r="Z13" s="39">
        <v>17344000</v>
      </c>
      <c r="AA13" s="40">
        <v>0.71111111111111114</v>
      </c>
      <c r="AC13" s="39">
        <v>30720000</v>
      </c>
      <c r="AD13" s="40">
        <v>0.71111111111111114</v>
      </c>
    </row>
    <row r="14" spans="1:30" ht="9" customHeight="1">
      <c r="AC14">
        <v>0</v>
      </c>
    </row>
    <row r="15" spans="1:30" ht="21">
      <c r="A15" s="41" t="s">
        <v>464</v>
      </c>
      <c r="B15" s="42">
        <v>156000</v>
      </c>
      <c r="C15" s="43">
        <v>0.28888888888888886</v>
      </c>
      <c r="D15" s="42">
        <v>234000</v>
      </c>
      <c r="E15" s="43">
        <v>0.28888888888888886</v>
      </c>
      <c r="F15" s="42">
        <v>312000</v>
      </c>
      <c r="G15" s="43">
        <v>0.28888888888888886</v>
      </c>
      <c r="H15" s="42">
        <v>390000</v>
      </c>
      <c r="I15" s="43">
        <v>0.28888888888888886</v>
      </c>
      <c r="J15" s="42">
        <v>468000</v>
      </c>
      <c r="K15" s="43">
        <v>0.28888888888888886</v>
      </c>
      <c r="L15" s="42">
        <v>546000</v>
      </c>
      <c r="M15" s="43">
        <v>0.28888888888888886</v>
      </c>
      <c r="N15" s="42">
        <v>624000</v>
      </c>
      <c r="O15" s="43">
        <v>0.28888888888888886</v>
      </c>
      <c r="P15" s="42">
        <v>702000</v>
      </c>
      <c r="Q15" s="43">
        <v>0.28888888888888886</v>
      </c>
      <c r="R15" s="42">
        <v>780000</v>
      </c>
      <c r="S15" s="43">
        <v>0.28888888888888886</v>
      </c>
      <c r="T15" s="42">
        <v>858000</v>
      </c>
      <c r="U15" s="43">
        <v>0.28888888888888886</v>
      </c>
      <c r="V15" s="42">
        <v>936000</v>
      </c>
      <c r="W15" s="43">
        <v>0.28888888888888886</v>
      </c>
      <c r="X15" s="42">
        <v>1040000</v>
      </c>
      <c r="Y15" s="43">
        <v>0.28888888888888886</v>
      </c>
      <c r="Z15" s="42">
        <v>7046000</v>
      </c>
      <c r="AA15" s="43">
        <v>0.28888888888888886</v>
      </c>
      <c r="AC15" s="42">
        <v>12480000</v>
      </c>
      <c r="AD15" s="43">
        <v>0.28888888888888886</v>
      </c>
    </row>
    <row r="16" spans="1:30" ht="8.25" customHeight="1" thickBot="1">
      <c r="AC16">
        <v>0</v>
      </c>
    </row>
    <row r="17" spans="1:30" ht="27.75" hidden="1" customHeight="1" thickBot="1">
      <c r="A17" s="44" t="s">
        <v>465</v>
      </c>
      <c r="B17" s="45">
        <v>0</v>
      </c>
      <c r="C17" s="46">
        <v>0</v>
      </c>
      <c r="D17" s="45">
        <v>0</v>
      </c>
      <c r="E17" s="46">
        <v>0</v>
      </c>
      <c r="F17" s="45">
        <v>0</v>
      </c>
      <c r="G17" s="46">
        <v>0</v>
      </c>
      <c r="H17" s="45">
        <v>0</v>
      </c>
      <c r="I17" s="46">
        <v>0</v>
      </c>
      <c r="J17" s="45">
        <v>0</v>
      </c>
      <c r="K17" s="46">
        <v>0</v>
      </c>
      <c r="L17" s="45">
        <v>0</v>
      </c>
      <c r="M17" s="46">
        <v>0</v>
      </c>
      <c r="N17" s="45">
        <v>0</v>
      </c>
      <c r="O17" s="46">
        <v>0</v>
      </c>
      <c r="P17" s="45">
        <v>0</v>
      </c>
      <c r="Q17" s="46">
        <v>0</v>
      </c>
      <c r="R17" s="45">
        <v>0</v>
      </c>
      <c r="S17" s="46">
        <v>0</v>
      </c>
      <c r="T17" s="45">
        <v>0</v>
      </c>
      <c r="U17" s="46">
        <v>0</v>
      </c>
      <c r="V17" s="45">
        <v>0</v>
      </c>
      <c r="W17" s="46">
        <v>0</v>
      </c>
      <c r="X17" s="45">
        <v>0</v>
      </c>
      <c r="Y17" s="46">
        <v>0</v>
      </c>
      <c r="Z17" s="45">
        <v>0</v>
      </c>
      <c r="AA17" s="46">
        <v>0</v>
      </c>
      <c r="AC17" s="45">
        <v>0</v>
      </c>
      <c r="AD17" s="46">
        <v>0</v>
      </c>
    </row>
    <row r="18" spans="1:30" ht="21.75" hidden="1" customHeight="1" outlineLevel="1" thickBot="1">
      <c r="A18" s="47" t="s">
        <v>148</v>
      </c>
      <c r="B18" s="48">
        <v>0</v>
      </c>
      <c r="C18" s="49"/>
      <c r="D18" s="48">
        <v>0</v>
      </c>
      <c r="E18" s="49"/>
      <c r="F18" s="48">
        <v>0</v>
      </c>
      <c r="G18" s="49"/>
      <c r="H18" s="48">
        <v>0</v>
      </c>
      <c r="I18" s="49"/>
      <c r="J18" s="48">
        <v>0</v>
      </c>
      <c r="K18" s="49"/>
      <c r="L18" s="48">
        <v>0</v>
      </c>
      <c r="M18" s="49"/>
      <c r="N18" s="48">
        <v>0</v>
      </c>
      <c r="O18" s="49"/>
      <c r="P18" s="48">
        <v>0</v>
      </c>
      <c r="Q18" s="49"/>
      <c r="R18" s="48">
        <v>0</v>
      </c>
      <c r="S18" s="49"/>
      <c r="T18" s="48">
        <v>0</v>
      </c>
      <c r="U18" s="49"/>
      <c r="V18" s="48">
        <v>0</v>
      </c>
      <c r="W18" s="49"/>
      <c r="X18" s="48">
        <v>0</v>
      </c>
      <c r="Y18" s="49"/>
      <c r="Z18" s="48">
        <v>0</v>
      </c>
      <c r="AA18" s="49"/>
      <c r="AC18" s="48">
        <v>0</v>
      </c>
      <c r="AD18" s="49"/>
    </row>
    <row r="19" spans="1:30" ht="16.5" hidden="1" customHeight="1" outlineLevel="1" thickBot="1">
      <c r="A19" s="47" t="s">
        <v>149</v>
      </c>
      <c r="B19" s="48">
        <v>0</v>
      </c>
      <c r="C19" s="49"/>
      <c r="D19" s="48">
        <v>0</v>
      </c>
      <c r="E19" s="49"/>
      <c r="F19" s="48">
        <v>0</v>
      </c>
      <c r="G19" s="49"/>
      <c r="H19" s="48">
        <v>0</v>
      </c>
      <c r="I19" s="49"/>
      <c r="J19" s="48">
        <v>0</v>
      </c>
      <c r="K19" s="49"/>
      <c r="L19" s="48">
        <v>0</v>
      </c>
      <c r="M19" s="49"/>
      <c r="N19" s="48">
        <v>0</v>
      </c>
      <c r="O19" s="49"/>
      <c r="P19" s="48">
        <v>0</v>
      </c>
      <c r="Q19" s="49"/>
      <c r="R19" s="48">
        <v>0</v>
      </c>
      <c r="S19" s="49"/>
      <c r="T19" s="48">
        <v>0</v>
      </c>
      <c r="U19" s="49"/>
      <c r="V19" s="48">
        <v>0</v>
      </c>
      <c r="W19" s="49"/>
      <c r="X19" s="48">
        <v>0</v>
      </c>
      <c r="Y19" s="49"/>
      <c r="Z19" s="48">
        <v>0</v>
      </c>
      <c r="AA19" s="49"/>
      <c r="AC19" s="48">
        <v>0</v>
      </c>
      <c r="AD19" s="49"/>
    </row>
    <row r="20" spans="1:30" ht="21.75" hidden="1" customHeight="1" outlineLevel="1" thickBot="1">
      <c r="A20" s="47" t="s">
        <v>20</v>
      </c>
      <c r="B20" s="48">
        <v>0</v>
      </c>
      <c r="C20" s="50"/>
      <c r="D20" s="48">
        <v>0</v>
      </c>
      <c r="E20" s="50"/>
      <c r="F20" s="48">
        <v>0</v>
      </c>
      <c r="G20" s="50"/>
      <c r="H20" s="48">
        <v>0</v>
      </c>
      <c r="I20" s="50"/>
      <c r="J20" s="48">
        <v>0</v>
      </c>
      <c r="K20" s="50"/>
      <c r="L20" s="48">
        <v>0</v>
      </c>
      <c r="M20" s="50"/>
      <c r="N20" s="48">
        <v>0</v>
      </c>
      <c r="O20" s="50"/>
      <c r="P20" s="48">
        <v>0</v>
      </c>
      <c r="Q20" s="50"/>
      <c r="R20" s="48">
        <v>0</v>
      </c>
      <c r="S20" s="50"/>
      <c r="T20" s="48">
        <v>0</v>
      </c>
      <c r="U20" s="50"/>
      <c r="V20" s="48">
        <v>0</v>
      </c>
      <c r="W20" s="50"/>
      <c r="X20" s="48">
        <v>0</v>
      </c>
      <c r="Y20" s="50"/>
      <c r="Z20" s="48">
        <v>0</v>
      </c>
      <c r="AA20" s="50"/>
      <c r="AC20" s="48">
        <v>0</v>
      </c>
      <c r="AD20" s="50"/>
    </row>
    <row r="21" spans="1:30" ht="16.5" hidden="1" customHeight="1" outlineLevel="1" thickBot="1">
      <c r="A21" s="47" t="s">
        <v>89</v>
      </c>
      <c r="B21" s="48">
        <v>0</v>
      </c>
      <c r="C21" s="50"/>
      <c r="D21" s="48">
        <v>0</v>
      </c>
      <c r="E21" s="50"/>
      <c r="F21" s="48">
        <v>0</v>
      </c>
      <c r="G21" s="50"/>
      <c r="H21" s="48">
        <v>0</v>
      </c>
      <c r="I21" s="50"/>
      <c r="J21" s="48">
        <v>0</v>
      </c>
      <c r="K21" s="50"/>
      <c r="L21" s="48">
        <v>0</v>
      </c>
      <c r="M21" s="50"/>
      <c r="N21" s="48">
        <v>0</v>
      </c>
      <c r="O21" s="50"/>
      <c r="P21" s="48">
        <v>0</v>
      </c>
      <c r="Q21" s="50"/>
      <c r="R21" s="48">
        <v>0</v>
      </c>
      <c r="S21" s="50"/>
      <c r="T21" s="48">
        <v>0</v>
      </c>
      <c r="U21" s="50"/>
      <c r="V21" s="48">
        <v>0</v>
      </c>
      <c r="W21" s="50"/>
      <c r="X21" s="48">
        <v>0</v>
      </c>
      <c r="Y21" s="50"/>
      <c r="Z21" s="48">
        <v>0</v>
      </c>
      <c r="AA21" s="50"/>
      <c r="AC21" s="48">
        <v>0</v>
      </c>
      <c r="AD21" s="50"/>
    </row>
    <row r="22" spans="1:30" ht="21.75" hidden="1" customHeight="1" outlineLevel="1" thickBot="1">
      <c r="A22" s="47" t="s">
        <v>18</v>
      </c>
      <c r="B22" s="48">
        <v>0</v>
      </c>
      <c r="C22" s="49"/>
      <c r="D22" s="48">
        <v>0</v>
      </c>
      <c r="E22" s="49"/>
      <c r="F22" s="48">
        <v>0</v>
      </c>
      <c r="G22" s="49"/>
      <c r="H22" s="48">
        <v>0</v>
      </c>
      <c r="I22" s="49"/>
      <c r="J22" s="48">
        <v>0</v>
      </c>
      <c r="K22" s="49"/>
      <c r="L22" s="48">
        <v>0</v>
      </c>
      <c r="M22" s="49"/>
      <c r="N22" s="48">
        <v>0</v>
      </c>
      <c r="O22" s="49"/>
      <c r="P22" s="48">
        <v>0</v>
      </c>
      <c r="Q22" s="49"/>
      <c r="R22" s="48">
        <v>0</v>
      </c>
      <c r="S22" s="49"/>
      <c r="T22" s="48">
        <v>0</v>
      </c>
      <c r="U22" s="49"/>
      <c r="V22" s="48">
        <v>0</v>
      </c>
      <c r="W22" s="49"/>
      <c r="X22" s="48">
        <v>0</v>
      </c>
      <c r="Y22" s="49"/>
      <c r="Z22" s="48">
        <v>0</v>
      </c>
      <c r="AA22" s="49"/>
      <c r="AC22" s="48">
        <v>0</v>
      </c>
      <c r="AD22" s="49"/>
    </row>
    <row r="23" spans="1:30" ht="16.5" hidden="1" customHeight="1" outlineLevel="1" thickBot="1">
      <c r="A23" s="47" t="s">
        <v>57</v>
      </c>
      <c r="B23" s="48">
        <v>0</v>
      </c>
      <c r="C23" s="49"/>
      <c r="D23" s="48">
        <v>0</v>
      </c>
      <c r="E23" s="49"/>
      <c r="F23" s="48">
        <v>0</v>
      </c>
      <c r="G23" s="49"/>
      <c r="H23" s="48">
        <v>0</v>
      </c>
      <c r="I23" s="49"/>
      <c r="J23" s="48">
        <v>0</v>
      </c>
      <c r="K23" s="49"/>
      <c r="L23" s="48">
        <v>0</v>
      </c>
      <c r="M23" s="49"/>
      <c r="N23" s="48">
        <v>0</v>
      </c>
      <c r="O23" s="49"/>
      <c r="P23" s="48">
        <v>0</v>
      </c>
      <c r="Q23" s="49"/>
      <c r="R23" s="48">
        <v>0</v>
      </c>
      <c r="S23" s="49"/>
      <c r="T23" s="48">
        <v>0</v>
      </c>
      <c r="U23" s="49"/>
      <c r="V23" s="48">
        <v>0</v>
      </c>
      <c r="W23" s="49"/>
      <c r="X23" s="48">
        <v>0</v>
      </c>
      <c r="Y23" s="49"/>
      <c r="Z23" s="48">
        <v>0</v>
      </c>
      <c r="AA23" s="49"/>
      <c r="AC23" s="48">
        <v>0</v>
      </c>
      <c r="AD23" s="49"/>
    </row>
    <row r="24" spans="1:30" ht="16.5" hidden="1" customHeight="1" outlineLevel="1" thickBot="1">
      <c r="A24" s="47" t="s">
        <v>22</v>
      </c>
      <c r="B24" s="48">
        <v>0</v>
      </c>
      <c r="C24" s="49"/>
      <c r="D24" s="48">
        <v>0</v>
      </c>
      <c r="E24" s="49"/>
      <c r="F24" s="48">
        <v>0</v>
      </c>
      <c r="G24" s="49"/>
      <c r="H24" s="48">
        <v>0</v>
      </c>
      <c r="I24" s="49"/>
      <c r="J24" s="48">
        <v>0</v>
      </c>
      <c r="K24" s="49"/>
      <c r="L24" s="48">
        <v>0</v>
      </c>
      <c r="M24" s="49"/>
      <c r="N24" s="48">
        <v>0</v>
      </c>
      <c r="O24" s="49"/>
      <c r="P24" s="48">
        <v>0</v>
      </c>
      <c r="Q24" s="49"/>
      <c r="R24" s="48">
        <v>0</v>
      </c>
      <c r="S24" s="49"/>
      <c r="T24" s="48">
        <v>0</v>
      </c>
      <c r="U24" s="49"/>
      <c r="V24" s="48">
        <v>0</v>
      </c>
      <c r="W24" s="49"/>
      <c r="X24" s="48">
        <v>0</v>
      </c>
      <c r="Y24" s="49"/>
      <c r="Z24" s="48">
        <v>0</v>
      </c>
      <c r="AA24" s="49"/>
      <c r="AC24" s="48">
        <v>0</v>
      </c>
      <c r="AD24" s="49"/>
    </row>
    <row r="25" spans="1:30" ht="16.5" hidden="1" customHeight="1" outlineLevel="1" thickBot="1">
      <c r="A25" s="47" t="s">
        <v>141</v>
      </c>
      <c r="B25" s="48">
        <v>0</v>
      </c>
      <c r="C25" s="49"/>
      <c r="D25" s="48">
        <v>0</v>
      </c>
      <c r="E25" s="49"/>
      <c r="F25" s="48">
        <v>0</v>
      </c>
      <c r="G25" s="49"/>
      <c r="H25" s="48">
        <v>0</v>
      </c>
      <c r="I25" s="49"/>
      <c r="J25" s="48">
        <v>0</v>
      </c>
      <c r="K25" s="49"/>
      <c r="L25" s="48">
        <v>0</v>
      </c>
      <c r="M25" s="49"/>
      <c r="N25" s="48">
        <v>0</v>
      </c>
      <c r="O25" s="49"/>
      <c r="P25" s="48">
        <v>0</v>
      </c>
      <c r="Q25" s="49"/>
      <c r="R25" s="48">
        <v>0</v>
      </c>
      <c r="S25" s="49"/>
      <c r="T25" s="48">
        <v>0</v>
      </c>
      <c r="U25" s="49"/>
      <c r="V25" s="48">
        <v>0</v>
      </c>
      <c r="W25" s="49"/>
      <c r="X25" s="48">
        <v>0</v>
      </c>
      <c r="Y25" s="49"/>
      <c r="Z25" s="48">
        <v>0</v>
      </c>
      <c r="AA25" s="49"/>
      <c r="AC25" s="48">
        <v>0</v>
      </c>
      <c r="AD25" s="49"/>
    </row>
    <row r="26" spans="1:30" ht="16.5" hidden="1" customHeight="1" outlineLevel="1" thickBot="1">
      <c r="A26" s="47" t="s">
        <v>25</v>
      </c>
      <c r="B26" s="48">
        <v>0</v>
      </c>
      <c r="C26" s="49"/>
      <c r="D26" s="48">
        <v>0</v>
      </c>
      <c r="E26" s="49"/>
      <c r="F26" s="48">
        <v>0</v>
      </c>
      <c r="G26" s="49"/>
      <c r="H26" s="48">
        <v>0</v>
      </c>
      <c r="I26" s="49"/>
      <c r="J26" s="48">
        <v>0</v>
      </c>
      <c r="K26" s="49"/>
      <c r="L26" s="48">
        <v>0</v>
      </c>
      <c r="M26" s="49"/>
      <c r="N26" s="48">
        <v>0</v>
      </c>
      <c r="O26" s="49"/>
      <c r="P26" s="48">
        <v>0</v>
      </c>
      <c r="Q26" s="49"/>
      <c r="R26" s="48">
        <v>0</v>
      </c>
      <c r="S26" s="49"/>
      <c r="T26" s="48">
        <v>0</v>
      </c>
      <c r="U26" s="49"/>
      <c r="V26" s="48">
        <v>0</v>
      </c>
      <c r="W26" s="49"/>
      <c r="X26" s="48">
        <v>0</v>
      </c>
      <c r="Y26" s="49"/>
      <c r="Z26" s="48">
        <v>0</v>
      </c>
      <c r="AA26" s="49"/>
      <c r="AC26" s="48">
        <v>0</v>
      </c>
      <c r="AD26" s="49"/>
    </row>
    <row r="27" spans="1:30" ht="16.5" hidden="1" customHeight="1" outlineLevel="1" thickBot="1">
      <c r="A27" s="47" t="s">
        <v>29</v>
      </c>
      <c r="B27" s="48">
        <v>0</v>
      </c>
      <c r="C27" s="49"/>
      <c r="D27" s="48">
        <v>0</v>
      </c>
      <c r="E27" s="49"/>
      <c r="F27" s="48">
        <v>0</v>
      </c>
      <c r="G27" s="49"/>
      <c r="H27" s="48">
        <v>0</v>
      </c>
      <c r="I27" s="49"/>
      <c r="J27" s="48">
        <v>0</v>
      </c>
      <c r="K27" s="49"/>
      <c r="L27" s="48">
        <v>0</v>
      </c>
      <c r="M27" s="49"/>
      <c r="N27" s="48">
        <v>0</v>
      </c>
      <c r="O27" s="49"/>
      <c r="P27" s="48">
        <v>0</v>
      </c>
      <c r="Q27" s="49"/>
      <c r="R27" s="48">
        <v>0</v>
      </c>
      <c r="S27" s="49"/>
      <c r="T27" s="48">
        <v>0</v>
      </c>
      <c r="U27" s="49"/>
      <c r="V27" s="48">
        <v>0</v>
      </c>
      <c r="W27" s="49"/>
      <c r="X27" s="48">
        <v>0</v>
      </c>
      <c r="Y27" s="49"/>
      <c r="Z27" s="48">
        <v>0</v>
      </c>
      <c r="AA27" s="49"/>
      <c r="AC27" s="48">
        <v>0</v>
      </c>
      <c r="AD27" s="49"/>
    </row>
    <row r="28" spans="1:30" ht="16.5" hidden="1" customHeight="1" outlineLevel="1" thickBot="1">
      <c r="A28" s="47" t="s">
        <v>12</v>
      </c>
      <c r="B28" s="48">
        <v>0</v>
      </c>
      <c r="C28" s="49"/>
      <c r="D28" s="48">
        <v>0</v>
      </c>
      <c r="E28" s="49"/>
      <c r="F28" s="48">
        <v>0</v>
      </c>
      <c r="G28" s="49"/>
      <c r="H28" s="48">
        <v>0</v>
      </c>
      <c r="I28" s="49"/>
      <c r="J28" s="48">
        <v>0</v>
      </c>
      <c r="K28" s="49"/>
      <c r="L28" s="48">
        <v>0</v>
      </c>
      <c r="M28" s="49"/>
      <c r="N28" s="48">
        <v>0</v>
      </c>
      <c r="O28" s="49"/>
      <c r="P28" s="48">
        <v>0</v>
      </c>
      <c r="Q28" s="49"/>
      <c r="R28" s="48">
        <v>0</v>
      </c>
      <c r="S28" s="49"/>
      <c r="T28" s="48">
        <v>0</v>
      </c>
      <c r="U28" s="49"/>
      <c r="V28" s="48">
        <v>0</v>
      </c>
      <c r="W28" s="49"/>
      <c r="X28" s="48">
        <v>0</v>
      </c>
      <c r="Y28" s="49"/>
      <c r="Z28" s="48">
        <v>0</v>
      </c>
      <c r="AA28" s="49"/>
      <c r="AC28" s="48">
        <v>0</v>
      </c>
      <c r="AD28" s="49"/>
    </row>
    <row r="29" spans="1:30" ht="16.5" hidden="1" customHeight="1" outlineLevel="1" thickBot="1">
      <c r="A29" s="47" t="s">
        <v>37</v>
      </c>
      <c r="B29" s="48">
        <v>0</v>
      </c>
      <c r="C29" s="49"/>
      <c r="D29" s="48">
        <v>0</v>
      </c>
      <c r="E29" s="49"/>
      <c r="F29" s="48">
        <v>0</v>
      </c>
      <c r="G29" s="49"/>
      <c r="H29" s="48">
        <v>0</v>
      </c>
      <c r="I29" s="49"/>
      <c r="J29" s="48">
        <v>0</v>
      </c>
      <c r="K29" s="49"/>
      <c r="L29" s="48">
        <v>0</v>
      </c>
      <c r="M29" s="49"/>
      <c r="N29" s="48">
        <v>0</v>
      </c>
      <c r="O29" s="49"/>
      <c r="P29" s="48">
        <v>0</v>
      </c>
      <c r="Q29" s="49"/>
      <c r="R29" s="48">
        <v>0</v>
      </c>
      <c r="S29" s="49"/>
      <c r="T29" s="48">
        <v>0</v>
      </c>
      <c r="U29" s="49"/>
      <c r="V29" s="48">
        <v>0</v>
      </c>
      <c r="W29" s="49"/>
      <c r="X29" s="48">
        <v>0</v>
      </c>
      <c r="Y29" s="49"/>
      <c r="Z29" s="48">
        <v>0</v>
      </c>
      <c r="AA29" s="49"/>
      <c r="AC29" s="48">
        <v>0</v>
      </c>
      <c r="AD29" s="49"/>
    </row>
    <row r="30" spans="1:30" ht="16.5" hidden="1" customHeight="1" outlineLevel="1" thickBot="1">
      <c r="A30" s="47" t="s">
        <v>45</v>
      </c>
      <c r="B30" s="48">
        <v>0</v>
      </c>
      <c r="C30" s="49"/>
      <c r="D30" s="48">
        <v>0</v>
      </c>
      <c r="E30" s="49"/>
      <c r="F30" s="48">
        <v>0</v>
      </c>
      <c r="G30" s="49"/>
      <c r="H30" s="48">
        <v>0</v>
      </c>
      <c r="I30" s="49"/>
      <c r="J30" s="48">
        <v>0</v>
      </c>
      <c r="K30" s="49"/>
      <c r="L30" s="48">
        <v>0</v>
      </c>
      <c r="M30" s="49"/>
      <c r="N30" s="48">
        <v>0</v>
      </c>
      <c r="O30" s="49"/>
      <c r="P30" s="48">
        <v>0</v>
      </c>
      <c r="Q30" s="49"/>
      <c r="R30" s="48">
        <v>0</v>
      </c>
      <c r="S30" s="49"/>
      <c r="T30" s="48">
        <v>0</v>
      </c>
      <c r="U30" s="49"/>
      <c r="V30" s="48">
        <v>0</v>
      </c>
      <c r="W30" s="49"/>
      <c r="X30" s="48">
        <v>0</v>
      </c>
      <c r="Y30" s="49"/>
      <c r="Z30" s="48">
        <v>0</v>
      </c>
      <c r="AA30" s="49"/>
      <c r="AC30" s="48">
        <v>0</v>
      </c>
      <c r="AD30" s="49"/>
    </row>
    <row r="31" spans="1:30" ht="16.5" hidden="1" customHeight="1" outlineLevel="1" thickBot="1">
      <c r="A31" s="47" t="s">
        <v>27</v>
      </c>
      <c r="B31" s="48">
        <v>0</v>
      </c>
      <c r="C31" s="49"/>
      <c r="D31" s="48">
        <v>0</v>
      </c>
      <c r="E31" s="49"/>
      <c r="F31" s="48">
        <v>0</v>
      </c>
      <c r="G31" s="49"/>
      <c r="H31" s="48">
        <v>0</v>
      </c>
      <c r="I31" s="49"/>
      <c r="J31" s="48">
        <v>0</v>
      </c>
      <c r="K31" s="49"/>
      <c r="L31" s="48">
        <v>0</v>
      </c>
      <c r="M31" s="49"/>
      <c r="N31" s="48">
        <v>0</v>
      </c>
      <c r="O31" s="49"/>
      <c r="P31" s="48">
        <v>0</v>
      </c>
      <c r="Q31" s="49"/>
      <c r="R31" s="48">
        <v>0</v>
      </c>
      <c r="S31" s="49"/>
      <c r="T31" s="48">
        <v>0</v>
      </c>
      <c r="U31" s="49"/>
      <c r="V31" s="48">
        <v>0</v>
      </c>
      <c r="W31" s="49"/>
      <c r="X31" s="48">
        <v>0</v>
      </c>
      <c r="Y31" s="49"/>
      <c r="Z31" s="48">
        <v>0</v>
      </c>
      <c r="AA31" s="49"/>
      <c r="AC31" s="48">
        <v>0</v>
      </c>
      <c r="AD31" s="49"/>
    </row>
    <row r="32" spans="1:30" ht="8.25" hidden="1" customHeight="1" thickBot="1">
      <c r="C32" s="51"/>
      <c r="E32" s="51"/>
      <c r="G32" s="51"/>
      <c r="I32" s="51"/>
      <c r="K32" s="51"/>
      <c r="M32" s="51"/>
      <c r="O32" s="51"/>
      <c r="Q32" s="51"/>
      <c r="S32" s="51"/>
      <c r="U32" s="51"/>
      <c r="W32" s="51"/>
      <c r="Y32" s="51"/>
      <c r="AA32" s="51"/>
      <c r="AC32">
        <v>0</v>
      </c>
      <c r="AD32" s="51"/>
    </row>
    <row r="33" spans="1:30" ht="21.75" thickBot="1">
      <c r="A33" s="38" t="s">
        <v>466</v>
      </c>
      <c r="B33" s="39">
        <v>156000</v>
      </c>
      <c r="C33" s="40">
        <v>0.28888888888888886</v>
      </c>
      <c r="D33" s="39">
        <v>234000</v>
      </c>
      <c r="E33" s="40">
        <v>0.28888888888888886</v>
      </c>
      <c r="F33" s="39">
        <v>312000</v>
      </c>
      <c r="G33" s="40">
        <v>0.28888888888888886</v>
      </c>
      <c r="H33" s="39">
        <v>390000</v>
      </c>
      <c r="I33" s="40">
        <v>0.28888888888888886</v>
      </c>
      <c r="J33" s="39">
        <v>468000</v>
      </c>
      <c r="K33" s="40">
        <v>0.28888888888888886</v>
      </c>
      <c r="L33" s="39">
        <v>546000</v>
      </c>
      <c r="M33" s="40">
        <v>0.28888888888888886</v>
      </c>
      <c r="N33" s="39">
        <v>624000</v>
      </c>
      <c r="O33" s="40">
        <v>0.28888888888888886</v>
      </c>
      <c r="P33" s="39">
        <v>702000</v>
      </c>
      <c r="Q33" s="40">
        <v>0.28888888888888886</v>
      </c>
      <c r="R33" s="39">
        <v>780000</v>
      </c>
      <c r="S33" s="40">
        <v>0.28888888888888886</v>
      </c>
      <c r="T33" s="39">
        <v>858000</v>
      </c>
      <c r="U33" s="40">
        <v>0.28888888888888886</v>
      </c>
      <c r="V33" s="39">
        <v>936000</v>
      </c>
      <c r="W33" s="40">
        <v>0.28888888888888886</v>
      </c>
      <c r="X33" s="39">
        <v>1040000</v>
      </c>
      <c r="Y33" s="40">
        <v>0.28888888888888886</v>
      </c>
      <c r="Z33" s="39">
        <v>7046000</v>
      </c>
      <c r="AA33" s="40">
        <v>0.28888888888888886</v>
      </c>
      <c r="AC33" s="39">
        <v>12480000</v>
      </c>
      <c r="AD33" s="40">
        <v>0.28888888888888886</v>
      </c>
    </row>
    <row r="34" spans="1:30" ht="15.75" thickBot="1">
      <c r="C34" s="51"/>
      <c r="E34" s="51"/>
      <c r="G34" s="51"/>
      <c r="I34" s="51"/>
      <c r="K34" s="51"/>
      <c r="M34" s="51"/>
      <c r="O34" s="51"/>
      <c r="Q34" s="51"/>
      <c r="S34" s="51"/>
      <c r="U34" s="51"/>
      <c r="W34" s="51"/>
      <c r="Y34" s="51"/>
      <c r="AA34" s="51"/>
      <c r="AC34">
        <v>0</v>
      </c>
      <c r="AD34" s="51"/>
    </row>
    <row r="35" spans="1:30" ht="27" customHeight="1" thickBot="1">
      <c r="A35" s="44" t="s">
        <v>152</v>
      </c>
      <c r="B35" s="45">
        <v>0</v>
      </c>
      <c r="C35" s="46">
        <v>0</v>
      </c>
      <c r="D35" s="45">
        <v>0</v>
      </c>
      <c r="E35" s="46">
        <v>0</v>
      </c>
      <c r="F35" s="45">
        <v>0</v>
      </c>
      <c r="G35" s="46">
        <v>0</v>
      </c>
      <c r="H35" s="45">
        <v>0</v>
      </c>
      <c r="I35" s="46">
        <v>0</v>
      </c>
      <c r="J35" s="45">
        <v>0</v>
      </c>
      <c r="K35" s="46">
        <v>0</v>
      </c>
      <c r="L35" s="45">
        <v>0</v>
      </c>
      <c r="M35" s="46">
        <v>0</v>
      </c>
      <c r="N35" s="45">
        <v>0</v>
      </c>
      <c r="O35" s="46">
        <v>0</v>
      </c>
      <c r="P35" s="45">
        <v>0</v>
      </c>
      <c r="Q35" s="46">
        <v>0</v>
      </c>
      <c r="R35" s="45">
        <v>0</v>
      </c>
      <c r="S35" s="46">
        <v>0</v>
      </c>
      <c r="T35" s="45">
        <v>0</v>
      </c>
      <c r="U35" s="46">
        <v>0</v>
      </c>
      <c r="V35" s="45">
        <v>0</v>
      </c>
      <c r="W35" s="46">
        <v>0</v>
      </c>
      <c r="X35" s="45">
        <v>0</v>
      </c>
      <c r="Y35" s="46">
        <v>0</v>
      </c>
      <c r="Z35" s="45">
        <v>0</v>
      </c>
      <c r="AA35" s="46">
        <v>0</v>
      </c>
      <c r="AC35" s="45">
        <v>0</v>
      </c>
      <c r="AD35" s="46">
        <v>0</v>
      </c>
    </row>
    <row r="36" spans="1:30" ht="15.75" hidden="1" customHeight="1" outlineLevel="1">
      <c r="A36" s="47" t="s">
        <v>153</v>
      </c>
      <c r="B36" s="48">
        <v>0</v>
      </c>
      <c r="C36" s="49"/>
      <c r="D36" s="48">
        <v>0</v>
      </c>
      <c r="E36" s="49"/>
      <c r="F36" s="48">
        <v>0</v>
      </c>
      <c r="G36" s="49"/>
      <c r="H36" s="48">
        <v>0</v>
      </c>
      <c r="I36" s="49"/>
      <c r="J36" s="48">
        <v>0</v>
      </c>
      <c r="K36" s="49"/>
      <c r="L36" s="48">
        <v>0</v>
      </c>
      <c r="M36" s="49"/>
      <c r="N36" s="48">
        <v>0</v>
      </c>
      <c r="O36" s="49"/>
      <c r="P36" s="48">
        <v>0</v>
      </c>
      <c r="Q36" s="49"/>
      <c r="R36" s="48">
        <v>0</v>
      </c>
      <c r="S36" s="49"/>
      <c r="T36" s="48">
        <v>0</v>
      </c>
      <c r="U36" s="49"/>
      <c r="V36" s="48">
        <v>0</v>
      </c>
      <c r="W36" s="49"/>
      <c r="X36" s="48">
        <v>0</v>
      </c>
      <c r="Y36" s="49"/>
      <c r="Z36" s="48">
        <v>0</v>
      </c>
      <c r="AA36" s="49"/>
      <c r="AC36" s="48">
        <v>0</v>
      </c>
      <c r="AD36" s="49"/>
    </row>
    <row r="37" spans="1:30" ht="8.25" customHeight="1" collapsed="1" thickBot="1">
      <c r="AC37">
        <v>0</v>
      </c>
    </row>
    <row r="38" spans="1:30" ht="27.75" customHeight="1" thickBot="1">
      <c r="A38" s="44" t="s">
        <v>54</v>
      </c>
      <c r="B38" s="45">
        <v>0</v>
      </c>
      <c r="C38" s="46">
        <v>0</v>
      </c>
      <c r="D38" s="45">
        <v>0</v>
      </c>
      <c r="E38" s="46">
        <v>0</v>
      </c>
      <c r="F38" s="45">
        <v>0</v>
      </c>
      <c r="G38" s="46">
        <v>0</v>
      </c>
      <c r="H38" s="45">
        <v>0</v>
      </c>
      <c r="I38" s="46">
        <v>0</v>
      </c>
      <c r="J38" s="45">
        <v>0</v>
      </c>
      <c r="K38" s="46">
        <v>0</v>
      </c>
      <c r="L38" s="45">
        <v>0</v>
      </c>
      <c r="M38" s="46">
        <v>0</v>
      </c>
      <c r="N38" s="45">
        <v>0</v>
      </c>
      <c r="O38" s="46">
        <v>0</v>
      </c>
      <c r="P38" s="45">
        <v>0</v>
      </c>
      <c r="Q38" s="46">
        <v>0</v>
      </c>
      <c r="R38" s="45">
        <v>0</v>
      </c>
      <c r="S38" s="46">
        <v>0</v>
      </c>
      <c r="T38" s="45">
        <v>0</v>
      </c>
      <c r="U38" s="46">
        <v>0</v>
      </c>
      <c r="V38" s="45">
        <v>0</v>
      </c>
      <c r="W38" s="46">
        <v>0</v>
      </c>
      <c r="X38" s="45">
        <v>0</v>
      </c>
      <c r="Y38" s="46">
        <v>0</v>
      </c>
      <c r="Z38" s="45">
        <v>0</v>
      </c>
      <c r="AA38" s="46">
        <v>0</v>
      </c>
      <c r="AC38" s="45">
        <v>0</v>
      </c>
      <c r="AD38" s="46">
        <v>0</v>
      </c>
    </row>
    <row r="39" spans="1:30" ht="15.75" hidden="1" customHeight="1" outlineLevel="1">
      <c r="A39" s="47" t="s">
        <v>79</v>
      </c>
      <c r="B39" s="48">
        <v>0</v>
      </c>
      <c r="C39" s="49"/>
      <c r="D39" s="48">
        <v>0</v>
      </c>
      <c r="E39" s="49"/>
      <c r="F39" s="48">
        <v>0</v>
      </c>
      <c r="G39" s="49"/>
      <c r="H39" s="48">
        <v>0</v>
      </c>
      <c r="I39" s="49"/>
      <c r="J39" s="48">
        <v>0</v>
      </c>
      <c r="K39" s="49"/>
      <c r="L39" s="48">
        <v>0</v>
      </c>
      <c r="M39" s="49"/>
      <c r="N39" s="48">
        <v>0</v>
      </c>
      <c r="O39" s="49"/>
      <c r="P39" s="48">
        <v>0</v>
      </c>
      <c r="Q39" s="49"/>
      <c r="R39" s="48">
        <v>0</v>
      </c>
      <c r="S39" s="49"/>
      <c r="T39" s="48">
        <v>0</v>
      </c>
      <c r="U39" s="49"/>
      <c r="V39" s="48">
        <v>0</v>
      </c>
      <c r="W39" s="49"/>
      <c r="X39" s="48">
        <v>0</v>
      </c>
      <c r="Y39" s="49"/>
      <c r="Z39" s="48">
        <v>0</v>
      </c>
      <c r="AA39" s="49"/>
      <c r="AC39" s="48">
        <v>0</v>
      </c>
      <c r="AD39" s="49"/>
    </row>
    <row r="40" spans="1:30" ht="21.75" hidden="1" customHeight="1" outlineLevel="1" thickBot="1">
      <c r="A40" s="47" t="s">
        <v>55</v>
      </c>
      <c r="B40" s="48">
        <v>0</v>
      </c>
      <c r="C40" s="49"/>
      <c r="D40" s="48">
        <v>0</v>
      </c>
      <c r="E40" s="49"/>
      <c r="F40" s="48">
        <v>0</v>
      </c>
      <c r="G40" s="49"/>
      <c r="H40" s="48">
        <v>0</v>
      </c>
      <c r="I40" s="49"/>
      <c r="J40" s="48">
        <v>0</v>
      </c>
      <c r="K40" s="49"/>
      <c r="L40" s="48">
        <v>0</v>
      </c>
      <c r="M40" s="49"/>
      <c r="N40" s="48">
        <v>0</v>
      </c>
      <c r="O40" s="49"/>
      <c r="P40" s="48">
        <v>0</v>
      </c>
      <c r="Q40" s="49"/>
      <c r="R40" s="48">
        <v>0</v>
      </c>
      <c r="S40" s="49"/>
      <c r="T40" s="48">
        <v>0</v>
      </c>
      <c r="U40" s="49"/>
      <c r="V40" s="48">
        <v>0</v>
      </c>
      <c r="W40" s="49"/>
      <c r="X40" s="48">
        <v>0</v>
      </c>
      <c r="Y40" s="49"/>
      <c r="Z40" s="48">
        <v>0</v>
      </c>
      <c r="AA40" s="49"/>
      <c r="AC40" s="48">
        <v>0</v>
      </c>
      <c r="AD40" s="49"/>
    </row>
    <row r="41" spans="1:30" ht="15.75" hidden="1" customHeight="1" outlineLevel="1">
      <c r="A41" s="47" t="s">
        <v>412</v>
      </c>
      <c r="B41" s="48">
        <v>0</v>
      </c>
      <c r="C41" s="49"/>
      <c r="D41" s="48">
        <v>0</v>
      </c>
      <c r="E41" s="49"/>
      <c r="F41" s="48">
        <v>0</v>
      </c>
      <c r="G41" s="49"/>
      <c r="H41" s="48">
        <v>0</v>
      </c>
      <c r="I41" s="49"/>
      <c r="J41" s="48">
        <v>0</v>
      </c>
      <c r="K41" s="49"/>
      <c r="L41" s="48">
        <v>0</v>
      </c>
      <c r="M41" s="49"/>
      <c r="N41" s="48">
        <v>0</v>
      </c>
      <c r="O41" s="49"/>
      <c r="P41" s="48">
        <v>0</v>
      </c>
      <c r="Q41" s="49"/>
      <c r="R41" s="48">
        <v>0</v>
      </c>
      <c r="S41" s="49"/>
      <c r="T41" s="48">
        <v>0</v>
      </c>
      <c r="U41" s="49"/>
      <c r="V41" s="48">
        <v>0</v>
      </c>
      <c r="W41" s="49"/>
      <c r="X41" s="48">
        <v>0</v>
      </c>
      <c r="Y41" s="49"/>
      <c r="Z41" s="48">
        <v>0</v>
      </c>
      <c r="AA41" s="49"/>
      <c r="AC41" s="48">
        <v>0</v>
      </c>
      <c r="AD41" s="49"/>
    </row>
    <row r="42" spans="1:30" ht="9" customHeight="1" collapsed="1" thickBot="1">
      <c r="C42" s="51"/>
      <c r="E42" s="51"/>
      <c r="G42" s="51"/>
      <c r="I42" s="51"/>
      <c r="K42" s="51"/>
      <c r="M42" s="51"/>
      <c r="O42" s="51"/>
      <c r="Q42" s="51"/>
      <c r="S42" s="51"/>
      <c r="U42" s="51"/>
      <c r="W42" s="51"/>
      <c r="Y42" s="51"/>
      <c r="AA42" s="51"/>
      <c r="AC42">
        <v>0</v>
      </c>
      <c r="AD42" s="51"/>
    </row>
    <row r="43" spans="1:30" ht="25.5" customHeight="1" thickBot="1">
      <c r="A43" s="44" t="s">
        <v>9</v>
      </c>
      <c r="B43" s="45">
        <v>500</v>
      </c>
      <c r="C43" s="46">
        <v>9.2592592592592596E-4</v>
      </c>
      <c r="D43" s="45">
        <v>500</v>
      </c>
      <c r="E43" s="46">
        <v>6.1728395061728394E-4</v>
      </c>
      <c r="F43" s="45">
        <v>500</v>
      </c>
      <c r="G43" s="46">
        <v>4.6296296296296298E-4</v>
      </c>
      <c r="H43" s="45">
        <v>500</v>
      </c>
      <c r="I43" s="46">
        <v>3.7037037037037035E-4</v>
      </c>
      <c r="J43" s="45">
        <v>500</v>
      </c>
      <c r="K43" s="46">
        <v>3.0864197530864197E-4</v>
      </c>
      <c r="L43" s="45">
        <v>500</v>
      </c>
      <c r="M43" s="46">
        <v>2.6455026455026457E-4</v>
      </c>
      <c r="N43" s="45">
        <v>500</v>
      </c>
      <c r="O43" s="46">
        <v>2.3148148148148149E-4</v>
      </c>
      <c r="P43" s="45">
        <v>500</v>
      </c>
      <c r="Q43" s="46">
        <v>2.0576131687242798E-4</v>
      </c>
      <c r="R43" s="45">
        <v>500</v>
      </c>
      <c r="S43" s="46">
        <v>1.8518518518518518E-4</v>
      </c>
      <c r="T43" s="45">
        <v>500</v>
      </c>
      <c r="U43" s="46">
        <v>1.6835016835016836E-4</v>
      </c>
      <c r="V43" s="45">
        <v>500</v>
      </c>
      <c r="W43" s="46">
        <v>1.5432098765432098E-4</v>
      </c>
      <c r="X43" s="45">
        <v>500</v>
      </c>
      <c r="Y43" s="46">
        <v>1.3888888888888889E-4</v>
      </c>
      <c r="Z43" s="45">
        <v>6000</v>
      </c>
      <c r="AA43" s="46">
        <v>2.4600246002460022E-4</v>
      </c>
      <c r="AC43" s="45">
        <v>6000</v>
      </c>
      <c r="AD43" s="46">
        <v>1.3888888888888889E-4</v>
      </c>
    </row>
    <row r="44" spans="1:30" ht="15.75" outlineLevel="1">
      <c r="A44" s="47" t="s">
        <v>338</v>
      </c>
      <c r="B44" s="48">
        <v>0</v>
      </c>
      <c r="C44" s="49"/>
      <c r="D44" s="48">
        <v>0</v>
      </c>
      <c r="E44" s="49"/>
      <c r="F44" s="48">
        <v>0</v>
      </c>
      <c r="G44" s="49"/>
      <c r="H44" s="48">
        <v>0</v>
      </c>
      <c r="I44" s="49"/>
      <c r="J44" s="48">
        <v>0</v>
      </c>
      <c r="K44" s="49"/>
      <c r="L44" s="48">
        <v>0</v>
      </c>
      <c r="M44" s="49"/>
      <c r="N44" s="48">
        <v>0</v>
      </c>
      <c r="O44" s="49"/>
      <c r="P44" s="48">
        <v>0</v>
      </c>
      <c r="Q44" s="49"/>
      <c r="R44" s="48">
        <v>0</v>
      </c>
      <c r="S44" s="49"/>
      <c r="T44" s="48">
        <v>0</v>
      </c>
      <c r="U44" s="49"/>
      <c r="V44" s="48">
        <v>0</v>
      </c>
      <c r="W44" s="49"/>
      <c r="X44" s="48">
        <v>0</v>
      </c>
      <c r="Y44" s="49"/>
      <c r="Z44" s="48">
        <v>0</v>
      </c>
      <c r="AA44" s="49"/>
      <c r="AC44" s="48">
        <v>0</v>
      </c>
      <c r="AD44" s="49"/>
    </row>
    <row r="45" spans="1:30" ht="15.75" outlineLevel="1">
      <c r="A45" s="47" t="s">
        <v>10</v>
      </c>
      <c r="B45" s="48">
        <v>0</v>
      </c>
      <c r="C45" s="49"/>
      <c r="D45" s="48">
        <v>0</v>
      </c>
      <c r="E45" s="49"/>
      <c r="F45" s="48">
        <v>0</v>
      </c>
      <c r="G45" s="49"/>
      <c r="H45" s="48">
        <v>0</v>
      </c>
      <c r="I45" s="49"/>
      <c r="J45" s="48">
        <v>0</v>
      </c>
      <c r="K45" s="49"/>
      <c r="L45" s="48">
        <v>0</v>
      </c>
      <c r="M45" s="49"/>
      <c r="N45" s="48">
        <v>0</v>
      </c>
      <c r="O45" s="49"/>
      <c r="P45" s="48">
        <v>0</v>
      </c>
      <c r="Q45" s="49"/>
      <c r="R45" s="48">
        <v>0</v>
      </c>
      <c r="S45" s="49"/>
      <c r="T45" s="48">
        <v>0</v>
      </c>
      <c r="U45" s="49"/>
      <c r="V45" s="48">
        <v>0</v>
      </c>
      <c r="W45" s="49"/>
      <c r="X45" s="48">
        <v>0</v>
      </c>
      <c r="Y45" s="49"/>
      <c r="Z45" s="48">
        <v>0</v>
      </c>
      <c r="AA45" s="49"/>
      <c r="AC45" s="48">
        <v>0</v>
      </c>
      <c r="AD45" s="49"/>
    </row>
    <row r="46" spans="1:30" ht="15.75" outlineLevel="1">
      <c r="A46" s="47" t="s">
        <v>387</v>
      </c>
      <c r="B46" s="48">
        <v>0</v>
      </c>
      <c r="C46" s="49"/>
      <c r="D46" s="48">
        <v>0</v>
      </c>
      <c r="E46" s="49"/>
      <c r="F46" s="48">
        <v>0</v>
      </c>
      <c r="G46" s="49"/>
      <c r="H46" s="48">
        <v>0</v>
      </c>
      <c r="I46" s="49"/>
      <c r="J46" s="48">
        <v>0</v>
      </c>
      <c r="K46" s="49"/>
      <c r="L46" s="48">
        <v>0</v>
      </c>
      <c r="M46" s="49"/>
      <c r="N46" s="48">
        <v>0</v>
      </c>
      <c r="O46" s="49"/>
      <c r="P46" s="48">
        <v>0</v>
      </c>
      <c r="Q46" s="49"/>
      <c r="R46" s="48">
        <v>0</v>
      </c>
      <c r="S46" s="49"/>
      <c r="T46" s="48">
        <v>0</v>
      </c>
      <c r="U46" s="49"/>
      <c r="V46" s="48">
        <v>0</v>
      </c>
      <c r="W46" s="49"/>
      <c r="X46" s="48">
        <v>0</v>
      </c>
      <c r="Y46" s="49"/>
      <c r="Z46" s="48">
        <v>0</v>
      </c>
      <c r="AA46" s="49"/>
      <c r="AC46" s="48">
        <v>0</v>
      </c>
      <c r="AD46" s="49"/>
    </row>
    <row r="47" spans="1:30" ht="15.75" outlineLevel="1">
      <c r="A47" s="47" t="s">
        <v>388</v>
      </c>
      <c r="B47" s="48">
        <v>0</v>
      </c>
      <c r="C47" s="49"/>
      <c r="D47" s="48">
        <v>0</v>
      </c>
      <c r="E47" s="49"/>
      <c r="F47" s="48">
        <v>0</v>
      </c>
      <c r="G47" s="49"/>
      <c r="H47" s="48">
        <v>0</v>
      </c>
      <c r="I47" s="49"/>
      <c r="J47" s="48">
        <v>0</v>
      </c>
      <c r="K47" s="49"/>
      <c r="L47" s="48">
        <v>0</v>
      </c>
      <c r="M47" s="49"/>
      <c r="N47" s="48">
        <v>0</v>
      </c>
      <c r="O47" s="49"/>
      <c r="P47" s="48">
        <v>0</v>
      </c>
      <c r="Q47" s="49"/>
      <c r="R47" s="48">
        <v>0</v>
      </c>
      <c r="S47" s="49"/>
      <c r="T47" s="48">
        <v>0</v>
      </c>
      <c r="U47" s="49"/>
      <c r="V47" s="48">
        <v>0</v>
      </c>
      <c r="W47" s="49"/>
      <c r="X47" s="48">
        <v>0</v>
      </c>
      <c r="Y47" s="49"/>
      <c r="Z47" s="48">
        <v>0</v>
      </c>
      <c r="AA47" s="49"/>
      <c r="AC47" s="48">
        <v>0</v>
      </c>
      <c r="AD47" s="49"/>
    </row>
    <row r="48" spans="1:30" ht="15.75" outlineLevel="1">
      <c r="A48" s="47" t="s">
        <v>67</v>
      </c>
      <c r="B48" s="48">
        <v>500</v>
      </c>
      <c r="C48" s="49"/>
      <c r="D48" s="48">
        <v>500</v>
      </c>
      <c r="E48" s="49"/>
      <c r="F48" s="48">
        <v>500</v>
      </c>
      <c r="G48" s="49"/>
      <c r="H48" s="48">
        <v>500</v>
      </c>
      <c r="I48" s="49"/>
      <c r="J48" s="48">
        <v>500</v>
      </c>
      <c r="K48" s="49"/>
      <c r="L48" s="48">
        <v>500</v>
      </c>
      <c r="M48" s="49"/>
      <c r="N48" s="48">
        <v>500</v>
      </c>
      <c r="O48" s="49"/>
      <c r="P48" s="48">
        <v>500</v>
      </c>
      <c r="Q48" s="49"/>
      <c r="R48" s="48">
        <v>500</v>
      </c>
      <c r="S48" s="49"/>
      <c r="T48" s="48">
        <v>500</v>
      </c>
      <c r="U48" s="49"/>
      <c r="V48" s="48">
        <v>500</v>
      </c>
      <c r="W48" s="49"/>
      <c r="X48" s="48">
        <v>500</v>
      </c>
      <c r="Y48" s="49"/>
      <c r="Z48" s="48">
        <v>6000</v>
      </c>
      <c r="AA48" s="49"/>
      <c r="AC48" s="48">
        <v>6000</v>
      </c>
      <c r="AD48" s="49"/>
    </row>
    <row r="49" spans="1:30" ht="8.25" customHeight="1" thickBot="1">
      <c r="C49" s="51"/>
      <c r="E49" s="51"/>
      <c r="G49" s="51"/>
      <c r="I49" s="51"/>
      <c r="K49" s="51"/>
      <c r="M49" s="51"/>
      <c r="O49" s="51"/>
      <c r="Q49" s="51"/>
      <c r="S49" s="51"/>
      <c r="U49" s="51"/>
      <c r="W49" s="51"/>
      <c r="Y49" s="51"/>
      <c r="AA49" s="51"/>
      <c r="AC49">
        <v>0</v>
      </c>
      <c r="AD49" s="51"/>
    </row>
    <row r="50" spans="1:30" ht="25.5" customHeight="1" thickBot="1">
      <c r="A50" s="44" t="s">
        <v>32</v>
      </c>
      <c r="B50" s="45">
        <v>43376</v>
      </c>
      <c r="C50" s="46">
        <v>8.0325925925925926E-2</v>
      </c>
      <c r="D50" s="45">
        <v>43376</v>
      </c>
      <c r="E50" s="46">
        <v>5.3550617283950615E-2</v>
      </c>
      <c r="F50" s="45">
        <v>52568</v>
      </c>
      <c r="G50" s="46">
        <v>4.8674074074074071E-2</v>
      </c>
      <c r="H50" s="45">
        <v>61710</v>
      </c>
      <c r="I50" s="46">
        <v>4.5711111111111112E-2</v>
      </c>
      <c r="J50" s="45">
        <v>70952</v>
      </c>
      <c r="K50" s="46">
        <v>4.3797530864197534E-2</v>
      </c>
      <c r="L50" s="45">
        <v>80144</v>
      </c>
      <c r="M50" s="46">
        <v>4.2404232804232805E-2</v>
      </c>
      <c r="N50" s="45">
        <v>90736</v>
      </c>
      <c r="O50" s="46">
        <v>4.200740740740741E-2</v>
      </c>
      <c r="P50" s="45">
        <v>116520</v>
      </c>
      <c r="Q50" s="46">
        <v>4.7950617283950614E-2</v>
      </c>
      <c r="R50" s="45">
        <v>125712</v>
      </c>
      <c r="S50" s="46">
        <v>4.6559999999999997E-2</v>
      </c>
      <c r="T50" s="45">
        <v>134904</v>
      </c>
      <c r="U50" s="46">
        <v>4.5422222222222225E-2</v>
      </c>
      <c r="V50" s="45">
        <v>144096</v>
      </c>
      <c r="W50" s="46">
        <v>4.4474074074074076E-2</v>
      </c>
      <c r="X50" s="45">
        <v>153288</v>
      </c>
      <c r="Y50" s="46">
        <v>4.258E-2</v>
      </c>
      <c r="Z50" s="45">
        <v>1117382</v>
      </c>
      <c r="AA50" s="46">
        <v>4.5813120131201313E-2</v>
      </c>
      <c r="AC50" s="45">
        <v>1839456</v>
      </c>
      <c r="AD50" s="46">
        <v>4.258E-2</v>
      </c>
    </row>
    <row r="51" spans="1:30" ht="15.75" outlineLevel="1">
      <c r="A51" s="47" t="s">
        <v>148</v>
      </c>
      <c r="B51" s="48">
        <v>36000</v>
      </c>
      <c r="C51" s="49"/>
      <c r="D51" s="48">
        <v>36000</v>
      </c>
      <c r="E51" s="49"/>
      <c r="F51" s="48">
        <v>44000</v>
      </c>
      <c r="G51" s="49"/>
      <c r="H51" s="48">
        <v>52000</v>
      </c>
      <c r="I51" s="49"/>
      <c r="J51" s="48">
        <v>60000</v>
      </c>
      <c r="K51" s="49"/>
      <c r="L51" s="48">
        <v>68000</v>
      </c>
      <c r="M51" s="49"/>
      <c r="N51" s="48">
        <v>78000</v>
      </c>
      <c r="O51" s="49"/>
      <c r="P51" s="48">
        <v>101000</v>
      </c>
      <c r="Q51" s="49"/>
      <c r="R51" s="48">
        <v>109000</v>
      </c>
      <c r="S51" s="49"/>
      <c r="T51" s="48">
        <v>117000</v>
      </c>
      <c r="U51" s="49"/>
      <c r="V51" s="48">
        <v>125000</v>
      </c>
      <c r="W51" s="49"/>
      <c r="X51" s="48">
        <v>133000</v>
      </c>
      <c r="Y51" s="49"/>
      <c r="Z51" s="48">
        <v>959000</v>
      </c>
      <c r="AA51" s="49"/>
      <c r="AC51" s="48">
        <v>1596000</v>
      </c>
      <c r="AD51" s="49"/>
    </row>
    <row r="52" spans="1:30" ht="15.75" outlineLevel="1">
      <c r="A52" s="47" t="s">
        <v>149</v>
      </c>
      <c r="B52" s="48">
        <v>1776</v>
      </c>
      <c r="C52" s="49"/>
      <c r="D52" s="48">
        <v>1776</v>
      </c>
      <c r="E52" s="49"/>
      <c r="F52" s="48">
        <v>2368</v>
      </c>
      <c r="G52" s="49"/>
      <c r="H52" s="48">
        <v>2960</v>
      </c>
      <c r="I52" s="49"/>
      <c r="J52" s="48">
        <v>3552</v>
      </c>
      <c r="K52" s="49"/>
      <c r="L52" s="48">
        <v>4144</v>
      </c>
      <c r="M52" s="49"/>
      <c r="N52" s="48">
        <v>4736</v>
      </c>
      <c r="O52" s="49"/>
      <c r="P52" s="48">
        <v>5920</v>
      </c>
      <c r="Q52" s="49"/>
      <c r="R52" s="48">
        <v>6512</v>
      </c>
      <c r="S52" s="49"/>
      <c r="T52" s="48">
        <v>7104</v>
      </c>
      <c r="U52" s="49"/>
      <c r="V52" s="48">
        <v>7696</v>
      </c>
      <c r="W52" s="49"/>
      <c r="X52" s="48">
        <v>8288</v>
      </c>
      <c r="Y52" s="49"/>
      <c r="Z52" s="48">
        <v>56832</v>
      </c>
      <c r="AA52" s="49"/>
      <c r="AC52" s="48">
        <v>99456</v>
      </c>
      <c r="AD52" s="49"/>
    </row>
    <row r="53" spans="1:30" ht="15.75" outlineLevel="1">
      <c r="A53" s="47" t="s">
        <v>18</v>
      </c>
      <c r="B53" s="48">
        <v>5000</v>
      </c>
      <c r="C53" s="49"/>
      <c r="D53" s="48">
        <v>5000</v>
      </c>
      <c r="E53" s="49"/>
      <c r="F53" s="48">
        <v>5500</v>
      </c>
      <c r="G53" s="49"/>
      <c r="H53" s="48">
        <v>5950</v>
      </c>
      <c r="I53" s="49"/>
      <c r="J53" s="48">
        <v>6500</v>
      </c>
      <c r="K53" s="49"/>
      <c r="L53" s="48">
        <v>7000</v>
      </c>
      <c r="M53" s="49"/>
      <c r="N53" s="48">
        <v>7000</v>
      </c>
      <c r="O53" s="49"/>
      <c r="P53" s="48">
        <v>8500</v>
      </c>
      <c r="Q53" s="49"/>
      <c r="R53" s="48">
        <v>9000</v>
      </c>
      <c r="S53" s="49"/>
      <c r="T53" s="48">
        <v>9500</v>
      </c>
      <c r="U53" s="49"/>
      <c r="V53" s="48">
        <v>10000</v>
      </c>
      <c r="W53" s="49"/>
      <c r="X53" s="48">
        <v>10500</v>
      </c>
      <c r="Y53" s="49"/>
      <c r="Z53" s="48">
        <v>89450</v>
      </c>
      <c r="AA53" s="49"/>
      <c r="AC53" s="48">
        <v>126000</v>
      </c>
      <c r="AD53" s="49"/>
    </row>
    <row r="54" spans="1:30" ht="15.75" outlineLevel="1">
      <c r="A54" s="47" t="s">
        <v>29</v>
      </c>
      <c r="B54" s="48">
        <v>0</v>
      </c>
      <c r="C54" s="49"/>
      <c r="D54" s="48">
        <v>0</v>
      </c>
      <c r="E54" s="49"/>
      <c r="F54" s="48">
        <v>0</v>
      </c>
      <c r="G54" s="49"/>
      <c r="H54" s="48">
        <v>0</v>
      </c>
      <c r="I54" s="49"/>
      <c r="J54" s="48">
        <v>0</v>
      </c>
      <c r="K54" s="49"/>
      <c r="L54" s="48">
        <v>0</v>
      </c>
      <c r="M54" s="49"/>
      <c r="N54" s="48">
        <v>0</v>
      </c>
      <c r="O54" s="49"/>
      <c r="P54" s="48">
        <v>0</v>
      </c>
      <c r="Q54" s="49"/>
      <c r="R54" s="48">
        <v>0</v>
      </c>
      <c r="S54" s="49"/>
      <c r="T54" s="48">
        <v>0</v>
      </c>
      <c r="U54" s="49"/>
      <c r="V54" s="48">
        <v>0</v>
      </c>
      <c r="W54" s="49"/>
      <c r="X54" s="48">
        <v>0</v>
      </c>
      <c r="Y54" s="49"/>
      <c r="Z54" s="48">
        <v>0</v>
      </c>
      <c r="AA54" s="49"/>
      <c r="AC54" s="48">
        <v>0</v>
      </c>
      <c r="AD54" s="49"/>
    </row>
    <row r="55" spans="1:30" ht="15.75" outlineLevel="1">
      <c r="A55" s="47" t="s">
        <v>45</v>
      </c>
      <c r="B55" s="48">
        <v>0</v>
      </c>
      <c r="C55" s="49"/>
      <c r="D55" s="48">
        <v>0</v>
      </c>
      <c r="E55" s="49"/>
      <c r="F55" s="48">
        <v>0</v>
      </c>
      <c r="G55" s="49"/>
      <c r="H55" s="48">
        <v>0</v>
      </c>
      <c r="I55" s="49"/>
      <c r="J55" s="48">
        <v>0</v>
      </c>
      <c r="K55" s="49"/>
      <c r="L55" s="48">
        <v>0</v>
      </c>
      <c r="M55" s="49"/>
      <c r="N55" s="48">
        <v>0</v>
      </c>
      <c r="O55" s="49"/>
      <c r="P55" s="48">
        <v>0</v>
      </c>
      <c r="Q55" s="49"/>
      <c r="R55" s="48">
        <v>0</v>
      </c>
      <c r="S55" s="49"/>
      <c r="T55" s="48">
        <v>0</v>
      </c>
      <c r="U55" s="49"/>
      <c r="V55" s="48">
        <v>0</v>
      </c>
      <c r="W55" s="49"/>
      <c r="X55" s="48">
        <v>0</v>
      </c>
      <c r="Y55" s="49"/>
      <c r="Z55" s="48">
        <v>0</v>
      </c>
      <c r="AA55" s="49"/>
      <c r="AC55" s="48">
        <v>0</v>
      </c>
      <c r="AD55" s="49"/>
    </row>
    <row r="56" spans="1:30" ht="15.75" outlineLevel="1">
      <c r="A56" s="47" t="s">
        <v>22</v>
      </c>
      <c r="B56" s="48">
        <v>0</v>
      </c>
      <c r="C56" s="49"/>
      <c r="D56" s="48">
        <v>0</v>
      </c>
      <c r="E56" s="49"/>
      <c r="F56" s="48">
        <v>0</v>
      </c>
      <c r="G56" s="49"/>
      <c r="H56" s="48">
        <v>0</v>
      </c>
      <c r="I56" s="49"/>
      <c r="J56" s="48">
        <v>0</v>
      </c>
      <c r="K56" s="49"/>
      <c r="L56" s="48">
        <v>0</v>
      </c>
      <c r="M56" s="49"/>
      <c r="N56" s="48">
        <v>0</v>
      </c>
      <c r="O56" s="49"/>
      <c r="P56" s="48">
        <v>0</v>
      </c>
      <c r="Q56" s="49"/>
      <c r="R56" s="48">
        <v>0</v>
      </c>
      <c r="S56" s="49"/>
      <c r="T56" s="48">
        <v>0</v>
      </c>
      <c r="U56" s="49"/>
      <c r="V56" s="48">
        <v>0</v>
      </c>
      <c r="W56" s="49"/>
      <c r="X56" s="48">
        <v>0</v>
      </c>
      <c r="Y56" s="49"/>
      <c r="Z56" s="48">
        <v>0</v>
      </c>
      <c r="AA56" s="49"/>
      <c r="AC56" s="48">
        <v>0</v>
      </c>
      <c r="AD56" s="49"/>
    </row>
    <row r="57" spans="1:30" ht="15.75" outlineLevel="1">
      <c r="A57" s="47" t="s">
        <v>37</v>
      </c>
      <c r="B57" s="48">
        <v>0</v>
      </c>
      <c r="C57" s="49"/>
      <c r="D57" s="48">
        <v>0</v>
      </c>
      <c r="E57" s="49"/>
      <c r="F57" s="48">
        <v>0</v>
      </c>
      <c r="G57" s="49"/>
      <c r="H57" s="48">
        <v>0</v>
      </c>
      <c r="I57" s="49"/>
      <c r="J57" s="48">
        <v>0</v>
      </c>
      <c r="K57" s="49"/>
      <c r="L57" s="48">
        <v>0</v>
      </c>
      <c r="M57" s="49"/>
      <c r="N57" s="48">
        <v>0</v>
      </c>
      <c r="O57" s="49"/>
      <c r="P57" s="48">
        <v>0</v>
      </c>
      <c r="Q57" s="49"/>
      <c r="R57" s="48">
        <v>0</v>
      </c>
      <c r="S57" s="49"/>
      <c r="T57" s="48">
        <v>0</v>
      </c>
      <c r="U57" s="49"/>
      <c r="V57" s="48">
        <v>0</v>
      </c>
      <c r="W57" s="49"/>
      <c r="X57" s="48">
        <v>0</v>
      </c>
      <c r="Y57" s="49"/>
      <c r="Z57" s="48">
        <v>0</v>
      </c>
      <c r="AA57" s="49"/>
      <c r="AC57" s="48">
        <v>0</v>
      </c>
      <c r="AD57" s="49"/>
    </row>
    <row r="58" spans="1:30" ht="15.75" outlineLevel="1">
      <c r="A58" s="47" t="s">
        <v>25</v>
      </c>
      <c r="B58" s="48">
        <v>0</v>
      </c>
      <c r="C58" s="49"/>
      <c r="D58" s="48">
        <v>0</v>
      </c>
      <c r="E58" s="49"/>
      <c r="F58" s="48">
        <v>0</v>
      </c>
      <c r="G58" s="49"/>
      <c r="H58" s="48">
        <v>0</v>
      </c>
      <c r="I58" s="49"/>
      <c r="J58" s="48">
        <v>0</v>
      </c>
      <c r="K58" s="49"/>
      <c r="L58" s="48">
        <v>0</v>
      </c>
      <c r="M58" s="49"/>
      <c r="N58" s="48">
        <v>0</v>
      </c>
      <c r="O58" s="49"/>
      <c r="P58" s="48">
        <v>0</v>
      </c>
      <c r="Q58" s="49"/>
      <c r="R58" s="48">
        <v>0</v>
      </c>
      <c r="S58" s="49"/>
      <c r="T58" s="48">
        <v>0</v>
      </c>
      <c r="U58" s="49"/>
      <c r="V58" s="48">
        <v>0</v>
      </c>
      <c r="W58" s="49"/>
      <c r="X58" s="48">
        <v>0</v>
      </c>
      <c r="Y58" s="49"/>
      <c r="Z58" s="48">
        <v>0</v>
      </c>
      <c r="AA58" s="49"/>
      <c r="AC58" s="48">
        <v>0</v>
      </c>
      <c r="AD58" s="49"/>
    </row>
    <row r="59" spans="1:30" ht="15.75" outlineLevel="1">
      <c r="A59" s="47" t="s">
        <v>12</v>
      </c>
      <c r="B59" s="48">
        <v>400</v>
      </c>
      <c r="C59" s="49"/>
      <c r="D59" s="48">
        <v>400</v>
      </c>
      <c r="E59" s="49"/>
      <c r="F59" s="48">
        <v>500</v>
      </c>
      <c r="G59" s="49"/>
      <c r="H59" s="48">
        <v>600</v>
      </c>
      <c r="I59" s="49"/>
      <c r="J59" s="48">
        <v>700</v>
      </c>
      <c r="K59" s="49"/>
      <c r="L59" s="48">
        <v>800</v>
      </c>
      <c r="M59" s="49"/>
      <c r="N59" s="48">
        <v>800</v>
      </c>
      <c r="O59" s="49"/>
      <c r="P59" s="48">
        <v>900</v>
      </c>
      <c r="Q59" s="49"/>
      <c r="R59" s="48">
        <v>1000</v>
      </c>
      <c r="S59" s="49"/>
      <c r="T59" s="48">
        <v>1100</v>
      </c>
      <c r="U59" s="49"/>
      <c r="V59" s="48">
        <v>1200</v>
      </c>
      <c r="W59" s="49"/>
      <c r="X59" s="48">
        <v>1300</v>
      </c>
      <c r="Y59" s="49"/>
      <c r="Z59" s="48">
        <v>9700</v>
      </c>
      <c r="AA59" s="49"/>
      <c r="AC59" s="48">
        <v>15600</v>
      </c>
      <c r="AD59" s="49"/>
    </row>
    <row r="60" spans="1:30" ht="15.75" outlineLevel="1">
      <c r="A60" s="47" t="s">
        <v>27</v>
      </c>
      <c r="B60" s="48">
        <v>200</v>
      </c>
      <c r="C60" s="49"/>
      <c r="D60" s="48">
        <v>200</v>
      </c>
      <c r="E60" s="49"/>
      <c r="F60" s="48">
        <v>200</v>
      </c>
      <c r="G60" s="49"/>
      <c r="H60" s="48">
        <v>200</v>
      </c>
      <c r="I60" s="49"/>
      <c r="J60" s="48">
        <v>200</v>
      </c>
      <c r="K60" s="49"/>
      <c r="L60" s="48">
        <v>200</v>
      </c>
      <c r="M60" s="49"/>
      <c r="N60" s="48">
        <v>200</v>
      </c>
      <c r="O60" s="49"/>
      <c r="P60" s="48">
        <v>200</v>
      </c>
      <c r="Q60" s="49"/>
      <c r="R60" s="48">
        <v>200</v>
      </c>
      <c r="S60" s="49"/>
      <c r="T60" s="48">
        <v>200</v>
      </c>
      <c r="U60" s="49"/>
      <c r="V60" s="48">
        <v>200</v>
      </c>
      <c r="W60" s="49"/>
      <c r="X60" s="48">
        <v>200</v>
      </c>
      <c r="Y60" s="49"/>
      <c r="Z60" s="48">
        <v>2400</v>
      </c>
      <c r="AA60" s="49"/>
      <c r="AC60" s="48">
        <v>2400</v>
      </c>
      <c r="AD60" s="49"/>
    </row>
    <row r="61" spans="1:30" ht="15.75" outlineLevel="1">
      <c r="A61" s="47" t="s">
        <v>89</v>
      </c>
      <c r="B61" s="48">
        <v>0</v>
      </c>
      <c r="C61" s="49"/>
      <c r="D61" s="48">
        <v>0</v>
      </c>
      <c r="E61" s="49"/>
      <c r="F61" s="48">
        <v>0</v>
      </c>
      <c r="G61" s="49"/>
      <c r="H61" s="48">
        <v>0</v>
      </c>
      <c r="I61" s="49"/>
      <c r="J61" s="48">
        <v>0</v>
      </c>
      <c r="K61" s="49"/>
      <c r="L61" s="48">
        <v>0</v>
      </c>
      <c r="M61" s="49"/>
      <c r="N61" s="48">
        <v>0</v>
      </c>
      <c r="O61" s="49"/>
      <c r="P61" s="48">
        <v>0</v>
      </c>
      <c r="Q61" s="49"/>
      <c r="R61" s="48">
        <v>0</v>
      </c>
      <c r="S61" s="49"/>
      <c r="T61" s="48">
        <v>0</v>
      </c>
      <c r="U61" s="49"/>
      <c r="V61" s="48">
        <v>0</v>
      </c>
      <c r="W61" s="49"/>
      <c r="X61" s="48">
        <v>0</v>
      </c>
      <c r="Y61" s="49"/>
      <c r="Z61" s="48">
        <v>0</v>
      </c>
      <c r="AA61" s="49"/>
      <c r="AC61" s="48">
        <v>0</v>
      </c>
      <c r="AD61" s="49"/>
    </row>
    <row r="62" spans="1:30" ht="8.25" customHeight="1" thickBot="1">
      <c r="C62" s="51"/>
      <c r="E62" s="51"/>
      <c r="G62" s="51"/>
      <c r="I62" s="51"/>
      <c r="K62" s="51"/>
      <c r="M62" s="51"/>
      <c r="O62" s="51"/>
      <c r="Q62" s="51"/>
      <c r="S62" s="51"/>
      <c r="U62" s="51"/>
      <c r="W62" s="51"/>
      <c r="Y62" s="51"/>
      <c r="AA62" s="51"/>
      <c r="AC62">
        <v>0</v>
      </c>
      <c r="AD62" s="51"/>
    </row>
    <row r="63" spans="1:30" ht="25.5" customHeight="1" thickBot="1">
      <c r="A63" s="44" t="s">
        <v>467</v>
      </c>
      <c r="B63" s="45">
        <v>128288</v>
      </c>
      <c r="C63" s="46">
        <v>0.23757037037037038</v>
      </c>
      <c r="D63" s="45">
        <v>158456</v>
      </c>
      <c r="E63" s="46">
        <v>0.19562469135802468</v>
      </c>
      <c r="F63" s="45">
        <v>194624</v>
      </c>
      <c r="G63" s="46">
        <v>0.1802074074074074</v>
      </c>
      <c r="H63" s="45">
        <v>230792</v>
      </c>
      <c r="I63" s="46">
        <v>0.17095703703703705</v>
      </c>
      <c r="J63" s="45">
        <v>266960</v>
      </c>
      <c r="K63" s="46">
        <v>0.16479012345679012</v>
      </c>
      <c r="L63" s="45">
        <v>303128</v>
      </c>
      <c r="M63" s="46">
        <v>0.16038518518518519</v>
      </c>
      <c r="N63" s="45">
        <v>349888</v>
      </c>
      <c r="O63" s="46">
        <v>0.16198518518518518</v>
      </c>
      <c r="P63" s="45">
        <v>398648</v>
      </c>
      <c r="Q63" s="46">
        <v>0.16405267489711933</v>
      </c>
      <c r="R63" s="45">
        <v>434816</v>
      </c>
      <c r="S63" s="46">
        <v>0.16104296296296297</v>
      </c>
      <c r="T63" s="45">
        <v>470984</v>
      </c>
      <c r="U63" s="46">
        <v>0.15858047138047138</v>
      </c>
      <c r="V63" s="45">
        <v>507152</v>
      </c>
      <c r="W63" s="46">
        <v>0.15652839506172839</v>
      </c>
      <c r="X63" s="45">
        <v>555376</v>
      </c>
      <c r="Y63" s="46">
        <v>0.15427111111111111</v>
      </c>
      <c r="Z63" s="45">
        <v>3999112</v>
      </c>
      <c r="AA63" s="46">
        <v>0.16396523165231652</v>
      </c>
      <c r="AC63" s="45">
        <v>6664512</v>
      </c>
      <c r="AD63" s="46">
        <v>0.15427111111111111</v>
      </c>
    </row>
    <row r="64" spans="1:30" ht="15.75" outlineLevel="1">
      <c r="A64" s="47" t="s">
        <v>148</v>
      </c>
      <c r="B64" s="48">
        <v>48000</v>
      </c>
      <c r="C64" s="49"/>
      <c r="D64" s="48">
        <v>42000</v>
      </c>
      <c r="E64" s="49"/>
      <c r="F64" s="48">
        <v>42000</v>
      </c>
      <c r="G64" s="49"/>
      <c r="H64" s="48">
        <v>42000</v>
      </c>
      <c r="I64" s="49"/>
      <c r="J64" s="48">
        <v>42000</v>
      </c>
      <c r="K64" s="49"/>
      <c r="L64" s="48">
        <v>42000</v>
      </c>
      <c r="M64" s="49"/>
      <c r="N64" s="48">
        <v>52000</v>
      </c>
      <c r="O64" s="49"/>
      <c r="P64" s="48">
        <v>64000</v>
      </c>
      <c r="Q64" s="49"/>
      <c r="R64" s="48">
        <v>64000</v>
      </c>
      <c r="S64" s="49"/>
      <c r="T64" s="48">
        <v>64000</v>
      </c>
      <c r="U64" s="49"/>
      <c r="V64" s="48">
        <v>64000</v>
      </c>
      <c r="W64" s="49"/>
      <c r="X64" s="48">
        <v>64000</v>
      </c>
      <c r="Y64" s="49"/>
      <c r="Z64" s="48">
        <v>630000</v>
      </c>
      <c r="AA64" s="49"/>
      <c r="AC64" s="48">
        <v>768000</v>
      </c>
      <c r="AD64" s="49"/>
    </row>
    <row r="65" spans="1:30" ht="15.75" outlineLevel="1">
      <c r="A65" s="47" t="s">
        <v>149</v>
      </c>
      <c r="B65" s="48">
        <v>3552</v>
      </c>
      <c r="C65" s="49"/>
      <c r="D65" s="48">
        <v>3552</v>
      </c>
      <c r="E65" s="49"/>
      <c r="F65" s="48">
        <v>3552</v>
      </c>
      <c r="G65" s="49"/>
      <c r="H65" s="48">
        <v>3552</v>
      </c>
      <c r="I65" s="49"/>
      <c r="J65" s="48">
        <v>3552</v>
      </c>
      <c r="K65" s="49"/>
      <c r="L65" s="48">
        <v>3552</v>
      </c>
      <c r="M65" s="49"/>
      <c r="N65" s="48">
        <v>4144</v>
      </c>
      <c r="O65" s="49"/>
      <c r="P65" s="48">
        <v>4736</v>
      </c>
      <c r="Q65" s="49"/>
      <c r="R65" s="48">
        <v>4736</v>
      </c>
      <c r="S65" s="49"/>
      <c r="T65" s="48">
        <v>4736</v>
      </c>
      <c r="U65" s="49"/>
      <c r="V65" s="48">
        <v>4736</v>
      </c>
      <c r="W65" s="49"/>
      <c r="X65" s="48">
        <v>4736</v>
      </c>
      <c r="Y65" s="49"/>
      <c r="Z65" s="48">
        <v>49136</v>
      </c>
      <c r="AA65" s="49"/>
      <c r="AC65" s="48">
        <v>56832</v>
      </c>
      <c r="AD65" s="49"/>
    </row>
    <row r="66" spans="1:30" ht="15.75" outlineLevel="1">
      <c r="A66" s="47" t="s">
        <v>22</v>
      </c>
      <c r="B66" s="48">
        <v>66000</v>
      </c>
      <c r="C66" s="50"/>
      <c r="D66" s="48">
        <v>99000</v>
      </c>
      <c r="E66" s="50"/>
      <c r="F66" s="48">
        <v>132000</v>
      </c>
      <c r="G66" s="50"/>
      <c r="H66" s="48">
        <v>165000</v>
      </c>
      <c r="I66" s="50"/>
      <c r="J66" s="48">
        <v>198000</v>
      </c>
      <c r="K66" s="50"/>
      <c r="L66" s="48">
        <v>231000</v>
      </c>
      <c r="M66" s="50"/>
      <c r="N66" s="48">
        <v>264000</v>
      </c>
      <c r="O66" s="50"/>
      <c r="P66" s="48">
        <v>297000</v>
      </c>
      <c r="Q66" s="50"/>
      <c r="R66" s="48">
        <v>330000</v>
      </c>
      <c r="S66" s="50"/>
      <c r="T66" s="48">
        <v>363000</v>
      </c>
      <c r="U66" s="50"/>
      <c r="V66" s="48">
        <v>396000</v>
      </c>
      <c r="W66" s="50"/>
      <c r="X66" s="48">
        <v>440000</v>
      </c>
      <c r="Y66" s="50"/>
      <c r="Z66" s="48">
        <v>2981000</v>
      </c>
      <c r="AA66" s="50"/>
      <c r="AC66" s="48">
        <v>5280000</v>
      </c>
      <c r="AD66" s="50"/>
    </row>
    <row r="67" spans="1:30" ht="15.75" outlineLevel="1">
      <c r="A67" s="47" t="s">
        <v>141</v>
      </c>
      <c r="B67" s="48">
        <v>0</v>
      </c>
      <c r="C67" s="50"/>
      <c r="D67" s="48">
        <v>0</v>
      </c>
      <c r="E67" s="50"/>
      <c r="F67" s="48">
        <v>0</v>
      </c>
      <c r="G67" s="50"/>
      <c r="H67" s="48">
        <v>0</v>
      </c>
      <c r="I67" s="50"/>
      <c r="J67" s="48">
        <v>0</v>
      </c>
      <c r="K67" s="50"/>
      <c r="L67" s="48">
        <v>0</v>
      </c>
      <c r="M67" s="50"/>
      <c r="N67" s="48">
        <v>0</v>
      </c>
      <c r="O67" s="50"/>
      <c r="P67" s="48">
        <v>0</v>
      </c>
      <c r="Q67" s="50"/>
      <c r="R67" s="48">
        <v>0</v>
      </c>
      <c r="S67" s="50"/>
      <c r="T67" s="48">
        <v>0</v>
      </c>
      <c r="U67" s="50"/>
      <c r="V67" s="48">
        <v>0</v>
      </c>
      <c r="W67" s="50"/>
      <c r="X67" s="48">
        <v>0</v>
      </c>
      <c r="Y67" s="50"/>
      <c r="Z67" s="48">
        <v>0</v>
      </c>
      <c r="AA67" s="50"/>
      <c r="AC67" s="48">
        <v>0</v>
      </c>
      <c r="AD67" s="50"/>
    </row>
    <row r="68" spans="1:30" ht="15.75" outlineLevel="1">
      <c r="A68" s="47" t="s">
        <v>20</v>
      </c>
      <c r="B68" s="48">
        <v>0</v>
      </c>
      <c r="C68" s="49"/>
      <c r="D68" s="48">
        <v>0</v>
      </c>
      <c r="E68" s="49"/>
      <c r="F68" s="48">
        <v>0</v>
      </c>
      <c r="G68" s="49"/>
      <c r="H68" s="48">
        <v>0</v>
      </c>
      <c r="I68" s="49"/>
      <c r="J68" s="48">
        <v>0</v>
      </c>
      <c r="K68" s="49"/>
      <c r="L68" s="48">
        <v>0</v>
      </c>
      <c r="M68" s="49"/>
      <c r="N68" s="48">
        <v>0</v>
      </c>
      <c r="O68" s="49"/>
      <c r="P68" s="48">
        <v>0</v>
      </c>
      <c r="Q68" s="49"/>
      <c r="R68" s="48">
        <v>0</v>
      </c>
      <c r="S68" s="49"/>
      <c r="T68" s="48">
        <v>0</v>
      </c>
      <c r="U68" s="49"/>
      <c r="V68" s="48">
        <v>0</v>
      </c>
      <c r="W68" s="49"/>
      <c r="X68" s="48">
        <v>0</v>
      </c>
      <c r="Y68" s="49"/>
      <c r="Z68" s="48">
        <v>0</v>
      </c>
      <c r="AA68" s="49"/>
      <c r="AC68" s="48">
        <v>0</v>
      </c>
      <c r="AD68" s="49"/>
    </row>
    <row r="69" spans="1:30" ht="15.75" outlineLevel="1">
      <c r="A69" s="47" t="s">
        <v>25</v>
      </c>
      <c r="B69" s="48">
        <v>6336.0000000000009</v>
      </c>
      <c r="C69" s="49"/>
      <c r="D69" s="48">
        <v>9504</v>
      </c>
      <c r="E69" s="49"/>
      <c r="F69" s="48">
        <v>12672.000000000002</v>
      </c>
      <c r="G69" s="49"/>
      <c r="H69" s="48">
        <v>15840.000000000002</v>
      </c>
      <c r="I69" s="49"/>
      <c r="J69" s="48">
        <v>19008</v>
      </c>
      <c r="K69" s="49"/>
      <c r="L69" s="48">
        <v>22176</v>
      </c>
      <c r="M69" s="49"/>
      <c r="N69" s="48">
        <v>25344.000000000004</v>
      </c>
      <c r="O69" s="49"/>
      <c r="P69" s="48">
        <v>28512.000000000004</v>
      </c>
      <c r="Q69" s="49"/>
      <c r="R69" s="48">
        <v>31680.000000000004</v>
      </c>
      <c r="S69" s="49"/>
      <c r="T69" s="48">
        <v>34848</v>
      </c>
      <c r="U69" s="49"/>
      <c r="V69" s="48">
        <v>38016</v>
      </c>
      <c r="W69" s="49"/>
      <c r="X69" s="48">
        <v>42240</v>
      </c>
      <c r="Y69" s="49"/>
      <c r="Z69" s="48">
        <v>286176</v>
      </c>
      <c r="AA69" s="273">
        <v>1.1733333333333333E-2</v>
      </c>
      <c r="AC69" s="48">
        <v>506880</v>
      </c>
      <c r="AD69" s="49"/>
    </row>
    <row r="70" spans="1:30" ht="15.75" outlineLevel="1">
      <c r="A70" s="47" t="s">
        <v>138</v>
      </c>
      <c r="B70" s="48">
        <v>0</v>
      </c>
      <c r="C70" s="50"/>
      <c r="D70" s="48">
        <v>0</v>
      </c>
      <c r="E70" s="50"/>
      <c r="F70" s="48">
        <v>0</v>
      </c>
      <c r="G70" s="50"/>
      <c r="H70" s="48">
        <v>0</v>
      </c>
      <c r="I70" s="50"/>
      <c r="J70" s="48">
        <v>0</v>
      </c>
      <c r="K70" s="50"/>
      <c r="L70" s="48">
        <v>0</v>
      </c>
      <c r="M70" s="50"/>
      <c r="N70" s="48">
        <v>0</v>
      </c>
      <c r="O70" s="50"/>
      <c r="P70" s="48">
        <v>0</v>
      </c>
      <c r="Q70" s="50"/>
      <c r="R70" s="48">
        <v>0</v>
      </c>
      <c r="S70" s="50"/>
      <c r="T70" s="48">
        <v>0</v>
      </c>
      <c r="U70" s="50"/>
      <c r="V70" s="48">
        <v>0</v>
      </c>
      <c r="W70" s="50"/>
      <c r="X70" s="48">
        <v>0</v>
      </c>
      <c r="Y70" s="50"/>
      <c r="Z70" s="48">
        <v>0</v>
      </c>
      <c r="AA70" s="50"/>
      <c r="AC70" s="48">
        <v>0</v>
      </c>
      <c r="AD70" s="50"/>
    </row>
    <row r="71" spans="1:30" ht="15.75" outlineLevel="1">
      <c r="A71" s="47" t="s">
        <v>18</v>
      </c>
      <c r="B71" s="48">
        <v>3500</v>
      </c>
      <c r="C71" s="49"/>
      <c r="D71" s="48">
        <v>3500</v>
      </c>
      <c r="E71" s="49"/>
      <c r="F71" s="48">
        <v>3500</v>
      </c>
      <c r="G71" s="49"/>
      <c r="H71" s="48">
        <v>3500</v>
      </c>
      <c r="I71" s="49"/>
      <c r="J71" s="48">
        <v>3500</v>
      </c>
      <c r="K71" s="49"/>
      <c r="L71" s="48">
        <v>3500</v>
      </c>
      <c r="M71" s="49"/>
      <c r="N71" s="48">
        <v>3500</v>
      </c>
      <c r="O71" s="49"/>
      <c r="P71" s="48">
        <v>3500</v>
      </c>
      <c r="Q71" s="49"/>
      <c r="R71" s="48">
        <v>3500</v>
      </c>
      <c r="S71" s="49"/>
      <c r="T71" s="48">
        <v>3500</v>
      </c>
      <c r="U71" s="49"/>
      <c r="V71" s="48">
        <v>3500</v>
      </c>
      <c r="W71" s="49"/>
      <c r="X71" s="48">
        <v>3500</v>
      </c>
      <c r="Y71" s="49"/>
      <c r="Z71" s="48">
        <v>42000</v>
      </c>
      <c r="AA71" s="49"/>
      <c r="AC71" s="48">
        <v>42000</v>
      </c>
      <c r="AD71" s="49"/>
    </row>
    <row r="72" spans="1:30" ht="15.75" outlineLevel="1">
      <c r="A72" s="47" t="s">
        <v>29</v>
      </c>
      <c r="B72" s="48">
        <v>200</v>
      </c>
      <c r="C72" s="50"/>
      <c r="D72" s="48">
        <v>200</v>
      </c>
      <c r="E72" s="50"/>
      <c r="F72" s="48">
        <v>200</v>
      </c>
      <c r="G72" s="50"/>
      <c r="H72" s="48">
        <v>200</v>
      </c>
      <c r="I72" s="50"/>
      <c r="J72" s="48">
        <v>200</v>
      </c>
      <c r="K72" s="50"/>
      <c r="L72" s="48">
        <v>200</v>
      </c>
      <c r="M72" s="50"/>
      <c r="N72" s="48">
        <v>200</v>
      </c>
      <c r="O72" s="50"/>
      <c r="P72" s="48">
        <v>200</v>
      </c>
      <c r="Q72" s="50"/>
      <c r="R72" s="48">
        <v>200</v>
      </c>
      <c r="S72" s="50"/>
      <c r="T72" s="48">
        <v>200</v>
      </c>
      <c r="U72" s="50"/>
      <c r="V72" s="48">
        <v>200</v>
      </c>
      <c r="W72" s="50"/>
      <c r="X72" s="48">
        <v>200</v>
      </c>
      <c r="Y72" s="50"/>
      <c r="Z72" s="48">
        <v>2400</v>
      </c>
      <c r="AA72" s="50"/>
      <c r="AC72" s="48">
        <v>2400</v>
      </c>
      <c r="AD72" s="50"/>
    </row>
    <row r="73" spans="1:30" ht="15.75" outlineLevel="1">
      <c r="A73" s="47" t="s">
        <v>89</v>
      </c>
      <c r="B73" s="48">
        <v>0</v>
      </c>
      <c r="C73" s="49"/>
      <c r="D73" s="48">
        <v>0</v>
      </c>
      <c r="E73" s="49"/>
      <c r="F73" s="48">
        <v>0</v>
      </c>
      <c r="G73" s="49"/>
      <c r="H73" s="48">
        <v>0</v>
      </c>
      <c r="I73" s="49"/>
      <c r="J73" s="48">
        <v>0</v>
      </c>
      <c r="K73" s="49"/>
      <c r="L73" s="48">
        <v>0</v>
      </c>
      <c r="M73" s="49"/>
      <c r="N73" s="48">
        <v>0</v>
      </c>
      <c r="O73" s="49"/>
      <c r="P73" s="48">
        <v>0</v>
      </c>
      <c r="Q73" s="49"/>
      <c r="R73" s="48">
        <v>0</v>
      </c>
      <c r="S73" s="49"/>
      <c r="T73" s="48">
        <v>0</v>
      </c>
      <c r="U73" s="49"/>
      <c r="V73" s="48">
        <v>0</v>
      </c>
      <c r="W73" s="49"/>
      <c r="X73" s="48">
        <v>0</v>
      </c>
      <c r="Y73" s="49"/>
      <c r="Z73" s="48">
        <v>0</v>
      </c>
      <c r="AA73" s="49"/>
      <c r="AC73" s="48">
        <v>0</v>
      </c>
      <c r="AD73" s="49"/>
    </row>
    <row r="74" spans="1:30" ht="15.75" outlineLevel="1">
      <c r="A74" s="47" t="s">
        <v>12</v>
      </c>
      <c r="B74" s="48">
        <v>300</v>
      </c>
      <c r="C74" s="49"/>
      <c r="D74" s="48">
        <v>300</v>
      </c>
      <c r="E74" s="49"/>
      <c r="F74" s="48">
        <v>300</v>
      </c>
      <c r="G74" s="49"/>
      <c r="H74" s="48">
        <v>300</v>
      </c>
      <c r="I74" s="49"/>
      <c r="J74" s="48">
        <v>300</v>
      </c>
      <c r="K74" s="49"/>
      <c r="L74" s="48">
        <v>300</v>
      </c>
      <c r="M74" s="49"/>
      <c r="N74" s="48">
        <v>300</v>
      </c>
      <c r="O74" s="49"/>
      <c r="P74" s="48">
        <v>300</v>
      </c>
      <c r="Q74" s="49"/>
      <c r="R74" s="48">
        <v>300</v>
      </c>
      <c r="S74" s="49"/>
      <c r="T74" s="48">
        <v>300</v>
      </c>
      <c r="U74" s="49"/>
      <c r="V74" s="48">
        <v>300</v>
      </c>
      <c r="W74" s="49"/>
      <c r="X74" s="48">
        <v>300</v>
      </c>
      <c r="Y74" s="49"/>
      <c r="Z74" s="48">
        <v>3600</v>
      </c>
      <c r="AA74" s="49"/>
      <c r="AC74" s="48">
        <v>3600</v>
      </c>
      <c r="AD74" s="49"/>
    </row>
    <row r="75" spans="1:30" ht="15.75" outlineLevel="1">
      <c r="A75" s="47" t="s">
        <v>27</v>
      </c>
      <c r="B75" s="48">
        <v>400</v>
      </c>
      <c r="C75" s="49"/>
      <c r="D75" s="48">
        <v>400</v>
      </c>
      <c r="E75" s="49"/>
      <c r="F75" s="48">
        <v>400</v>
      </c>
      <c r="G75" s="49"/>
      <c r="H75" s="48">
        <v>400</v>
      </c>
      <c r="I75" s="49"/>
      <c r="J75" s="48">
        <v>400</v>
      </c>
      <c r="K75" s="49"/>
      <c r="L75" s="48">
        <v>400</v>
      </c>
      <c r="M75" s="49"/>
      <c r="N75" s="48">
        <v>400</v>
      </c>
      <c r="O75" s="49"/>
      <c r="P75" s="48">
        <v>400</v>
      </c>
      <c r="Q75" s="49"/>
      <c r="R75" s="48">
        <v>400</v>
      </c>
      <c r="S75" s="49"/>
      <c r="T75" s="48">
        <v>400</v>
      </c>
      <c r="U75" s="49"/>
      <c r="V75" s="48">
        <v>400</v>
      </c>
      <c r="W75" s="49"/>
      <c r="X75" s="48">
        <v>400</v>
      </c>
      <c r="Y75" s="49"/>
      <c r="Z75" s="48">
        <v>4800</v>
      </c>
      <c r="AA75" s="49"/>
      <c r="AC75" s="48">
        <v>4800</v>
      </c>
      <c r="AD75" s="49"/>
    </row>
    <row r="76" spans="1:30" ht="15.75" outlineLevel="1">
      <c r="A76" s="47" t="s">
        <v>57</v>
      </c>
      <c r="B76" s="48">
        <v>0</v>
      </c>
      <c r="C76" s="49"/>
      <c r="D76" s="48">
        <v>0</v>
      </c>
      <c r="E76" s="49"/>
      <c r="F76" s="48">
        <v>0</v>
      </c>
      <c r="G76" s="49"/>
      <c r="H76" s="48">
        <v>0</v>
      </c>
      <c r="I76" s="49"/>
      <c r="J76" s="48">
        <v>0</v>
      </c>
      <c r="K76" s="49"/>
      <c r="L76" s="48">
        <v>0</v>
      </c>
      <c r="M76" s="49"/>
      <c r="N76" s="48">
        <v>0</v>
      </c>
      <c r="O76" s="49"/>
      <c r="P76" s="48">
        <v>0</v>
      </c>
      <c r="Q76" s="49"/>
      <c r="R76" s="48">
        <v>0</v>
      </c>
      <c r="S76" s="49"/>
      <c r="T76" s="48">
        <v>0</v>
      </c>
      <c r="U76" s="49"/>
      <c r="V76" s="48">
        <v>0</v>
      </c>
      <c r="W76" s="49"/>
      <c r="X76" s="48">
        <v>0</v>
      </c>
      <c r="Y76" s="49"/>
      <c r="Z76" s="48">
        <v>0</v>
      </c>
      <c r="AA76" s="49"/>
      <c r="AC76" s="48">
        <v>0</v>
      </c>
      <c r="AD76" s="49"/>
    </row>
    <row r="77" spans="1:30" ht="15.75" outlineLevel="1">
      <c r="A77" s="47" t="s">
        <v>45</v>
      </c>
      <c r="B77" s="48">
        <v>0</v>
      </c>
      <c r="C77" s="49"/>
      <c r="D77" s="48">
        <v>0</v>
      </c>
      <c r="E77" s="49"/>
      <c r="F77" s="48">
        <v>0</v>
      </c>
      <c r="G77" s="49"/>
      <c r="H77" s="48">
        <v>0</v>
      </c>
      <c r="I77" s="49"/>
      <c r="J77" s="48">
        <v>0</v>
      </c>
      <c r="K77" s="49"/>
      <c r="L77" s="48">
        <v>0</v>
      </c>
      <c r="M77" s="49"/>
      <c r="N77" s="48">
        <v>0</v>
      </c>
      <c r="O77" s="49"/>
      <c r="P77" s="48">
        <v>0</v>
      </c>
      <c r="Q77" s="49"/>
      <c r="R77" s="48">
        <v>0</v>
      </c>
      <c r="S77" s="49"/>
      <c r="T77" s="48">
        <v>0</v>
      </c>
      <c r="U77" s="49"/>
      <c r="V77" s="48">
        <v>0</v>
      </c>
      <c r="W77" s="49"/>
      <c r="X77" s="48">
        <v>0</v>
      </c>
      <c r="Y77" s="49"/>
      <c r="Z77" s="48">
        <v>0</v>
      </c>
      <c r="AA77" s="49"/>
      <c r="AC77" s="48">
        <v>0</v>
      </c>
      <c r="AD77" s="49"/>
    </row>
    <row r="78" spans="1:30" ht="15.75" outlineLevel="1">
      <c r="A78" s="47" t="s">
        <v>37</v>
      </c>
      <c r="B78" s="48">
        <v>0</v>
      </c>
      <c r="C78" s="49"/>
      <c r="D78" s="48">
        <v>0</v>
      </c>
      <c r="E78" s="49"/>
      <c r="F78" s="48">
        <v>0</v>
      </c>
      <c r="G78" s="49"/>
      <c r="H78" s="48">
        <v>0</v>
      </c>
      <c r="I78" s="49"/>
      <c r="J78" s="48">
        <v>0</v>
      </c>
      <c r="K78" s="49"/>
      <c r="L78" s="48">
        <v>0</v>
      </c>
      <c r="M78" s="49"/>
      <c r="N78" s="48">
        <v>0</v>
      </c>
      <c r="O78" s="49"/>
      <c r="P78" s="48">
        <v>0</v>
      </c>
      <c r="Q78" s="49"/>
      <c r="R78" s="48">
        <v>0</v>
      </c>
      <c r="S78" s="49"/>
      <c r="T78" s="48">
        <v>0</v>
      </c>
      <c r="U78" s="49"/>
      <c r="V78" s="48">
        <v>0</v>
      </c>
      <c r="W78" s="49"/>
      <c r="X78" s="48">
        <v>0</v>
      </c>
      <c r="Y78" s="49"/>
      <c r="Z78" s="48">
        <v>0</v>
      </c>
      <c r="AA78" s="49"/>
      <c r="AC78" s="48">
        <v>0</v>
      </c>
      <c r="AD78" s="49"/>
    </row>
    <row r="79" spans="1:30" ht="8.25" customHeight="1" thickBot="1">
      <c r="C79" s="51"/>
      <c r="E79" s="51"/>
      <c r="G79" s="51"/>
      <c r="I79" s="51"/>
      <c r="K79" s="51"/>
      <c r="M79" s="51"/>
      <c r="O79" s="51"/>
      <c r="Q79" s="51"/>
      <c r="S79" s="51"/>
      <c r="U79" s="51"/>
      <c r="W79" s="51"/>
      <c r="Y79" s="51"/>
      <c r="AA79" s="51"/>
      <c r="AC79">
        <v>0</v>
      </c>
      <c r="AD79" s="51"/>
    </row>
    <row r="80" spans="1:30" ht="21.75" thickBot="1">
      <c r="A80" s="38" t="s">
        <v>466</v>
      </c>
      <c r="B80" s="39">
        <v>-16164</v>
      </c>
      <c r="C80" s="40">
        <v>-2.9933333333333333E-2</v>
      </c>
      <c r="D80" s="39">
        <v>31668</v>
      </c>
      <c r="E80" s="40">
        <v>3.9096296296296296E-2</v>
      </c>
      <c r="F80" s="39">
        <v>64308</v>
      </c>
      <c r="G80" s="40">
        <v>5.9544444444444442E-2</v>
      </c>
      <c r="H80" s="39">
        <v>96998</v>
      </c>
      <c r="I80" s="40">
        <v>7.185037037037037E-2</v>
      </c>
      <c r="J80" s="39">
        <v>129588</v>
      </c>
      <c r="K80" s="40">
        <v>7.9992592592592587E-2</v>
      </c>
      <c r="L80" s="39">
        <v>162228</v>
      </c>
      <c r="M80" s="40">
        <v>8.5834920634920639E-2</v>
      </c>
      <c r="N80" s="39">
        <v>182876</v>
      </c>
      <c r="O80" s="40">
        <v>8.4664814814814818E-2</v>
      </c>
      <c r="P80" s="39">
        <v>186332</v>
      </c>
      <c r="Q80" s="40">
        <v>7.6679835390946499E-2</v>
      </c>
      <c r="R80" s="39">
        <v>218972</v>
      </c>
      <c r="S80" s="40">
        <v>8.1100740740740737E-2</v>
      </c>
      <c r="T80" s="39">
        <v>251612</v>
      </c>
      <c r="U80" s="40">
        <v>8.4717845117845123E-2</v>
      </c>
      <c r="V80" s="39">
        <v>284252</v>
      </c>
      <c r="W80" s="40">
        <v>8.7732098765432101E-2</v>
      </c>
      <c r="X80" s="39">
        <v>330836</v>
      </c>
      <c r="Y80" s="40">
        <v>9.1898888888888891E-2</v>
      </c>
      <c r="Z80" s="39">
        <v>1923506</v>
      </c>
      <c r="AA80" s="40">
        <v>7.8864534645346457E-2</v>
      </c>
      <c r="AC80" s="39">
        <v>3970032</v>
      </c>
      <c r="AD80" s="40">
        <v>9.1898888888888891E-2</v>
      </c>
    </row>
    <row r="81" spans="1:30" ht="8.25" customHeight="1" thickBot="1">
      <c r="C81" s="51"/>
      <c r="E81" s="51"/>
      <c r="G81" s="51"/>
      <c r="I81" s="51"/>
      <c r="K81" s="51"/>
      <c r="M81" s="51"/>
      <c r="O81" s="51"/>
      <c r="Q81" s="51"/>
      <c r="S81" s="51"/>
      <c r="U81" s="51"/>
      <c r="W81" s="51"/>
      <c r="Y81" s="51"/>
      <c r="AA81" s="51"/>
      <c r="AC81">
        <v>0</v>
      </c>
      <c r="AD81" s="51"/>
    </row>
    <row r="82" spans="1:30" ht="27.75" customHeight="1" thickBot="1">
      <c r="A82" s="44" t="s">
        <v>468</v>
      </c>
      <c r="B82" s="45">
        <v>85168</v>
      </c>
      <c r="C82" s="46">
        <v>0.15771851851851851</v>
      </c>
      <c r="D82" s="45">
        <v>85168</v>
      </c>
      <c r="E82" s="46">
        <v>0.10514567901234569</v>
      </c>
      <c r="F82" s="45">
        <v>85168</v>
      </c>
      <c r="G82" s="46">
        <v>7.8859259259259254E-2</v>
      </c>
      <c r="H82" s="45">
        <v>85168</v>
      </c>
      <c r="I82" s="46">
        <v>6.3087407407407411E-2</v>
      </c>
      <c r="J82" s="45">
        <v>85168</v>
      </c>
      <c r="K82" s="46">
        <v>5.2572839506172843E-2</v>
      </c>
      <c r="L82" s="45">
        <v>85168</v>
      </c>
      <c r="M82" s="46">
        <v>4.5062433862433859E-2</v>
      </c>
      <c r="N82" s="45">
        <v>95760</v>
      </c>
      <c r="O82" s="46">
        <v>4.4333333333333336E-2</v>
      </c>
      <c r="P82" s="45">
        <v>95760</v>
      </c>
      <c r="Q82" s="46">
        <v>3.9407407407407405E-2</v>
      </c>
      <c r="R82" s="45">
        <v>95760</v>
      </c>
      <c r="S82" s="46">
        <v>3.5466666666666667E-2</v>
      </c>
      <c r="T82" s="45">
        <v>95760</v>
      </c>
      <c r="U82" s="46">
        <v>3.2242424242424239E-2</v>
      </c>
      <c r="V82" s="45">
        <v>95760</v>
      </c>
      <c r="W82" s="46">
        <v>2.9555555555555557E-2</v>
      </c>
      <c r="X82" s="45">
        <v>95760</v>
      </c>
      <c r="Y82" s="46">
        <v>2.6599999999999999E-2</v>
      </c>
      <c r="Z82" s="45">
        <v>1085568</v>
      </c>
      <c r="AA82" s="46">
        <v>4.4508733087330873E-2</v>
      </c>
      <c r="AC82" s="45">
        <v>1149120</v>
      </c>
      <c r="AD82" s="46">
        <v>2.6599999999999999E-2</v>
      </c>
    </row>
    <row r="83" spans="1:30" ht="15.75" outlineLevel="1">
      <c r="A83" s="47" t="s">
        <v>148</v>
      </c>
      <c r="B83" s="48">
        <v>66000</v>
      </c>
      <c r="C83" s="49"/>
      <c r="D83" s="48">
        <v>66000</v>
      </c>
      <c r="E83" s="49"/>
      <c r="F83" s="48">
        <v>66000</v>
      </c>
      <c r="G83" s="49"/>
      <c r="H83" s="48">
        <v>66000</v>
      </c>
      <c r="I83" s="49"/>
      <c r="J83" s="48">
        <v>66000</v>
      </c>
      <c r="K83" s="49"/>
      <c r="L83" s="48">
        <v>66000</v>
      </c>
      <c r="M83" s="49"/>
      <c r="N83" s="48">
        <v>76000</v>
      </c>
      <c r="O83" s="49"/>
      <c r="P83" s="48">
        <v>76000</v>
      </c>
      <c r="Q83" s="49"/>
      <c r="R83" s="48">
        <v>76000</v>
      </c>
      <c r="S83" s="49"/>
      <c r="T83" s="48">
        <v>76000</v>
      </c>
      <c r="U83" s="49"/>
      <c r="V83" s="48">
        <v>76000</v>
      </c>
      <c r="W83" s="49"/>
      <c r="X83" s="48">
        <v>76000</v>
      </c>
      <c r="Y83" s="49"/>
      <c r="Z83" s="48">
        <v>852000</v>
      </c>
      <c r="AA83" s="49"/>
      <c r="AC83" s="48">
        <v>912000</v>
      </c>
      <c r="AD83" s="49"/>
    </row>
    <row r="84" spans="1:30" ht="15.75" outlineLevel="1">
      <c r="A84" s="47" t="s">
        <v>149</v>
      </c>
      <c r="B84" s="48">
        <v>2368</v>
      </c>
      <c r="C84" s="49"/>
      <c r="D84" s="48">
        <v>2368</v>
      </c>
      <c r="E84" s="49"/>
      <c r="F84" s="48">
        <v>2368</v>
      </c>
      <c r="G84" s="49"/>
      <c r="H84" s="48">
        <v>2368</v>
      </c>
      <c r="I84" s="49"/>
      <c r="J84" s="48">
        <v>2368</v>
      </c>
      <c r="K84" s="49"/>
      <c r="L84" s="48">
        <v>2368</v>
      </c>
      <c r="M84" s="49"/>
      <c r="N84" s="48">
        <v>2960</v>
      </c>
      <c r="O84" s="49"/>
      <c r="P84" s="48">
        <v>2960</v>
      </c>
      <c r="Q84" s="49"/>
      <c r="R84" s="48">
        <v>2960</v>
      </c>
      <c r="S84" s="49"/>
      <c r="T84" s="48">
        <v>2960</v>
      </c>
      <c r="U84" s="49"/>
      <c r="V84" s="48">
        <v>2960</v>
      </c>
      <c r="W84" s="49"/>
      <c r="X84" s="48">
        <v>2960</v>
      </c>
      <c r="Y84" s="49"/>
      <c r="Z84" s="48">
        <v>31968</v>
      </c>
      <c r="AA84" s="49"/>
      <c r="AC84" s="48">
        <v>35520</v>
      </c>
      <c r="AD84" s="49"/>
    </row>
    <row r="85" spans="1:30" ht="15.75" outlineLevel="1">
      <c r="A85" s="47" t="s">
        <v>29</v>
      </c>
      <c r="B85" s="48">
        <v>2000</v>
      </c>
      <c r="C85" s="49"/>
      <c r="D85" s="48">
        <v>2000</v>
      </c>
      <c r="E85" s="49"/>
      <c r="F85" s="48">
        <v>2000</v>
      </c>
      <c r="G85" s="49"/>
      <c r="H85" s="48">
        <v>2000</v>
      </c>
      <c r="I85" s="49"/>
      <c r="J85" s="48">
        <v>2000</v>
      </c>
      <c r="K85" s="49"/>
      <c r="L85" s="48">
        <v>2000</v>
      </c>
      <c r="M85" s="49"/>
      <c r="N85" s="48">
        <v>2000</v>
      </c>
      <c r="O85" s="49"/>
      <c r="P85" s="48">
        <v>2000</v>
      </c>
      <c r="Q85" s="49"/>
      <c r="R85" s="48">
        <v>2000</v>
      </c>
      <c r="S85" s="49"/>
      <c r="T85" s="48">
        <v>2000</v>
      </c>
      <c r="U85" s="49"/>
      <c r="V85" s="48">
        <v>2000</v>
      </c>
      <c r="W85" s="49"/>
      <c r="X85" s="48">
        <v>2000</v>
      </c>
      <c r="Y85" s="49"/>
      <c r="Z85" s="48">
        <v>24000</v>
      </c>
      <c r="AA85" s="49"/>
      <c r="AC85" s="48">
        <v>24000</v>
      </c>
      <c r="AD85" s="49"/>
    </row>
    <row r="86" spans="1:30" ht="15.75" outlineLevel="1">
      <c r="A86" s="47" t="s">
        <v>18</v>
      </c>
      <c r="B86" s="48">
        <v>4000</v>
      </c>
      <c r="C86" s="49"/>
      <c r="D86" s="48">
        <v>4000</v>
      </c>
      <c r="E86" s="49"/>
      <c r="F86" s="48">
        <v>4000</v>
      </c>
      <c r="G86" s="49"/>
      <c r="H86" s="48">
        <v>4000</v>
      </c>
      <c r="I86" s="49"/>
      <c r="J86" s="48">
        <v>4000</v>
      </c>
      <c r="K86" s="49"/>
      <c r="L86" s="48">
        <v>4000</v>
      </c>
      <c r="M86" s="49"/>
      <c r="N86" s="48">
        <v>4000</v>
      </c>
      <c r="O86" s="49"/>
      <c r="P86" s="48">
        <v>4000</v>
      </c>
      <c r="Q86" s="49"/>
      <c r="R86" s="48">
        <v>4000</v>
      </c>
      <c r="S86" s="49"/>
      <c r="T86" s="48">
        <v>4000</v>
      </c>
      <c r="U86" s="49"/>
      <c r="V86" s="48">
        <v>4000</v>
      </c>
      <c r="W86" s="49"/>
      <c r="X86" s="48">
        <v>4000</v>
      </c>
      <c r="Y86" s="49"/>
      <c r="Z86" s="48">
        <v>48000</v>
      </c>
      <c r="AA86" s="49"/>
      <c r="AC86" s="48">
        <v>48000</v>
      </c>
      <c r="AD86" s="49"/>
    </row>
    <row r="87" spans="1:30" ht="15.75" outlineLevel="1">
      <c r="A87" s="47" t="s">
        <v>20</v>
      </c>
      <c r="B87" s="48">
        <v>0</v>
      </c>
      <c r="C87" s="49"/>
      <c r="D87" s="48">
        <v>0</v>
      </c>
      <c r="E87" s="49"/>
      <c r="F87" s="48">
        <v>0</v>
      </c>
      <c r="G87" s="49"/>
      <c r="H87" s="48">
        <v>0</v>
      </c>
      <c r="I87" s="49"/>
      <c r="J87" s="48">
        <v>0</v>
      </c>
      <c r="K87" s="49"/>
      <c r="L87" s="48">
        <v>0</v>
      </c>
      <c r="M87" s="49"/>
      <c r="N87" s="48">
        <v>0</v>
      </c>
      <c r="O87" s="49"/>
      <c r="P87" s="48">
        <v>0</v>
      </c>
      <c r="Q87" s="49"/>
      <c r="R87" s="48">
        <v>0</v>
      </c>
      <c r="S87" s="49"/>
      <c r="T87" s="48">
        <v>0</v>
      </c>
      <c r="U87" s="49"/>
      <c r="V87" s="48">
        <v>0</v>
      </c>
      <c r="W87" s="49"/>
      <c r="X87" s="48">
        <v>0</v>
      </c>
      <c r="Y87" s="49"/>
      <c r="Z87" s="48">
        <v>0</v>
      </c>
      <c r="AA87" s="49"/>
      <c r="AC87" s="48">
        <v>0</v>
      </c>
      <c r="AD87" s="49"/>
    </row>
    <row r="88" spans="1:30" ht="15.75" outlineLevel="1">
      <c r="A88" s="47" t="s">
        <v>12</v>
      </c>
      <c r="B88" s="48">
        <v>1100</v>
      </c>
      <c r="C88" s="49"/>
      <c r="D88" s="48">
        <v>1100</v>
      </c>
      <c r="E88" s="49"/>
      <c r="F88" s="48">
        <v>1100</v>
      </c>
      <c r="G88" s="49"/>
      <c r="H88" s="48">
        <v>1100</v>
      </c>
      <c r="I88" s="49"/>
      <c r="J88" s="48">
        <v>1100</v>
      </c>
      <c r="K88" s="49"/>
      <c r="L88" s="48">
        <v>1100</v>
      </c>
      <c r="M88" s="49"/>
      <c r="N88" s="48">
        <v>1100</v>
      </c>
      <c r="O88" s="49"/>
      <c r="P88" s="48">
        <v>1100</v>
      </c>
      <c r="Q88" s="49"/>
      <c r="R88" s="48">
        <v>1100</v>
      </c>
      <c r="S88" s="49"/>
      <c r="T88" s="48">
        <v>1100</v>
      </c>
      <c r="U88" s="49"/>
      <c r="V88" s="48">
        <v>1100</v>
      </c>
      <c r="W88" s="49"/>
      <c r="X88" s="48">
        <v>1100</v>
      </c>
      <c r="Y88" s="49"/>
      <c r="Z88" s="48">
        <v>13200</v>
      </c>
      <c r="AA88" s="49"/>
      <c r="AC88" s="48">
        <v>13200</v>
      </c>
      <c r="AD88" s="49"/>
    </row>
    <row r="89" spans="1:30" ht="15.75" outlineLevel="1">
      <c r="A89" s="47" t="s">
        <v>25</v>
      </c>
      <c r="B89" s="48">
        <v>6000</v>
      </c>
      <c r="C89" s="49"/>
      <c r="D89" s="48">
        <v>6000</v>
      </c>
      <c r="E89" s="49"/>
      <c r="F89" s="48">
        <v>6000</v>
      </c>
      <c r="G89" s="49"/>
      <c r="H89" s="48">
        <v>6000</v>
      </c>
      <c r="I89" s="49"/>
      <c r="J89" s="48">
        <v>6000</v>
      </c>
      <c r="K89" s="49"/>
      <c r="L89" s="48">
        <v>6000</v>
      </c>
      <c r="M89" s="49"/>
      <c r="N89" s="48">
        <v>6000</v>
      </c>
      <c r="O89" s="49"/>
      <c r="P89" s="48">
        <v>6000</v>
      </c>
      <c r="Q89" s="49"/>
      <c r="R89" s="48">
        <v>6000</v>
      </c>
      <c r="S89" s="49"/>
      <c r="T89" s="48">
        <v>6000</v>
      </c>
      <c r="U89" s="49"/>
      <c r="V89" s="48">
        <v>6000</v>
      </c>
      <c r="W89" s="49"/>
      <c r="X89" s="48">
        <v>6000</v>
      </c>
      <c r="Y89" s="49"/>
      <c r="Z89" s="48">
        <v>72000</v>
      </c>
      <c r="AA89" s="49"/>
      <c r="AC89" s="48">
        <v>72000</v>
      </c>
      <c r="AD89" s="49"/>
    </row>
    <row r="90" spans="1:30" ht="15.75" outlineLevel="1">
      <c r="A90" s="47" t="s">
        <v>45</v>
      </c>
      <c r="B90" s="48">
        <v>0</v>
      </c>
      <c r="C90" s="49"/>
      <c r="D90" s="48">
        <v>0</v>
      </c>
      <c r="E90" s="49"/>
      <c r="F90" s="48">
        <v>0</v>
      </c>
      <c r="G90" s="49"/>
      <c r="H90" s="48">
        <v>0</v>
      </c>
      <c r="I90" s="49"/>
      <c r="J90" s="48">
        <v>0</v>
      </c>
      <c r="K90" s="49"/>
      <c r="L90" s="48">
        <v>0</v>
      </c>
      <c r="M90" s="49"/>
      <c r="N90" s="48">
        <v>0</v>
      </c>
      <c r="O90" s="49"/>
      <c r="P90" s="48">
        <v>0</v>
      </c>
      <c r="Q90" s="49"/>
      <c r="R90" s="48">
        <v>0</v>
      </c>
      <c r="S90" s="49"/>
      <c r="T90" s="48">
        <v>0</v>
      </c>
      <c r="U90" s="49"/>
      <c r="V90" s="48">
        <v>0</v>
      </c>
      <c r="W90" s="49"/>
      <c r="X90" s="48">
        <v>0</v>
      </c>
      <c r="Y90" s="49"/>
      <c r="Z90" s="48">
        <v>0</v>
      </c>
      <c r="AA90" s="49"/>
      <c r="AC90" s="48">
        <v>0</v>
      </c>
      <c r="AD90" s="49"/>
    </row>
    <row r="91" spans="1:30" ht="15.75" outlineLevel="1">
      <c r="A91" s="47" t="s">
        <v>37</v>
      </c>
      <c r="B91" s="48">
        <v>0</v>
      </c>
      <c r="C91" s="49"/>
      <c r="D91" s="48">
        <v>0</v>
      </c>
      <c r="E91" s="49"/>
      <c r="F91" s="48">
        <v>0</v>
      </c>
      <c r="G91" s="49"/>
      <c r="H91" s="48">
        <v>0</v>
      </c>
      <c r="I91" s="49"/>
      <c r="J91" s="48">
        <v>0</v>
      </c>
      <c r="K91" s="49"/>
      <c r="L91" s="48">
        <v>0</v>
      </c>
      <c r="M91" s="49"/>
      <c r="N91" s="48">
        <v>0</v>
      </c>
      <c r="O91" s="49"/>
      <c r="P91" s="48">
        <v>0</v>
      </c>
      <c r="Q91" s="49"/>
      <c r="R91" s="48">
        <v>0</v>
      </c>
      <c r="S91" s="49"/>
      <c r="T91" s="48">
        <v>0</v>
      </c>
      <c r="U91" s="49"/>
      <c r="V91" s="48">
        <v>0</v>
      </c>
      <c r="W91" s="49"/>
      <c r="X91" s="48">
        <v>0</v>
      </c>
      <c r="Y91" s="49"/>
      <c r="Z91" s="48">
        <v>0</v>
      </c>
      <c r="AA91" s="49"/>
      <c r="AC91" s="48">
        <v>0</v>
      </c>
      <c r="AD91" s="49"/>
    </row>
    <row r="92" spans="1:30" ht="15.75" outlineLevel="1">
      <c r="A92" s="47" t="s">
        <v>22</v>
      </c>
      <c r="B92" s="48">
        <v>0</v>
      </c>
      <c r="C92" s="49"/>
      <c r="D92" s="48">
        <v>0</v>
      </c>
      <c r="E92" s="49"/>
      <c r="F92" s="48">
        <v>0</v>
      </c>
      <c r="G92" s="49"/>
      <c r="H92" s="48">
        <v>0</v>
      </c>
      <c r="I92" s="49"/>
      <c r="J92" s="48">
        <v>0</v>
      </c>
      <c r="K92" s="49"/>
      <c r="L92" s="48">
        <v>0</v>
      </c>
      <c r="M92" s="49"/>
      <c r="N92" s="48">
        <v>0</v>
      </c>
      <c r="O92" s="49"/>
      <c r="P92" s="48">
        <v>0</v>
      </c>
      <c r="Q92" s="49"/>
      <c r="R92" s="48">
        <v>0</v>
      </c>
      <c r="S92" s="49"/>
      <c r="T92" s="48">
        <v>0</v>
      </c>
      <c r="U92" s="49"/>
      <c r="V92" s="48">
        <v>0</v>
      </c>
      <c r="W92" s="49"/>
      <c r="X92" s="48">
        <v>0</v>
      </c>
      <c r="Y92" s="49"/>
      <c r="Z92" s="48">
        <v>0</v>
      </c>
      <c r="AA92" s="49"/>
      <c r="AC92" s="48">
        <v>0</v>
      </c>
      <c r="AD92" s="49"/>
    </row>
    <row r="93" spans="1:30" ht="15.75" outlineLevel="1">
      <c r="A93" s="47" t="s">
        <v>27</v>
      </c>
      <c r="B93" s="48">
        <v>2200</v>
      </c>
      <c r="C93" s="49"/>
      <c r="D93" s="48">
        <v>2200</v>
      </c>
      <c r="E93" s="49"/>
      <c r="F93" s="48">
        <v>2200</v>
      </c>
      <c r="G93" s="49"/>
      <c r="H93" s="48">
        <v>2200</v>
      </c>
      <c r="I93" s="49"/>
      <c r="J93" s="48">
        <v>2200</v>
      </c>
      <c r="K93" s="49"/>
      <c r="L93" s="48">
        <v>2200</v>
      </c>
      <c r="M93" s="49"/>
      <c r="N93" s="48">
        <v>2200</v>
      </c>
      <c r="O93" s="49"/>
      <c r="P93" s="48">
        <v>2200</v>
      </c>
      <c r="Q93" s="49"/>
      <c r="R93" s="48">
        <v>2200</v>
      </c>
      <c r="S93" s="49"/>
      <c r="T93" s="48">
        <v>2200</v>
      </c>
      <c r="U93" s="49"/>
      <c r="V93" s="48">
        <v>2200</v>
      </c>
      <c r="W93" s="49"/>
      <c r="X93" s="48">
        <v>2200</v>
      </c>
      <c r="Y93" s="49"/>
      <c r="Z93" s="48">
        <v>26400</v>
      </c>
      <c r="AA93" s="49"/>
      <c r="AC93" s="48">
        <v>26400</v>
      </c>
      <c r="AD93" s="49"/>
    </row>
    <row r="94" spans="1:30" ht="15.75" outlineLevel="1">
      <c r="A94" s="47" t="s">
        <v>57</v>
      </c>
      <c r="B94" s="48">
        <v>0</v>
      </c>
      <c r="C94" s="49"/>
      <c r="D94" s="48">
        <v>0</v>
      </c>
      <c r="E94" s="49"/>
      <c r="F94" s="48">
        <v>0</v>
      </c>
      <c r="G94" s="49"/>
      <c r="H94" s="48">
        <v>0</v>
      </c>
      <c r="I94" s="49"/>
      <c r="J94" s="48">
        <v>0</v>
      </c>
      <c r="K94" s="49"/>
      <c r="L94" s="48">
        <v>0</v>
      </c>
      <c r="M94" s="49"/>
      <c r="N94" s="48">
        <v>0</v>
      </c>
      <c r="O94" s="49"/>
      <c r="P94" s="48">
        <v>0</v>
      </c>
      <c r="Q94" s="49"/>
      <c r="R94" s="48">
        <v>0</v>
      </c>
      <c r="S94" s="49"/>
      <c r="T94" s="48">
        <v>0</v>
      </c>
      <c r="U94" s="49"/>
      <c r="V94" s="48">
        <v>0</v>
      </c>
      <c r="W94" s="49"/>
      <c r="X94" s="48">
        <v>0</v>
      </c>
      <c r="Y94" s="49"/>
      <c r="Z94" s="48">
        <v>0</v>
      </c>
      <c r="AA94" s="49"/>
      <c r="AC94" s="48">
        <v>0</v>
      </c>
      <c r="AD94" s="49"/>
    </row>
    <row r="95" spans="1:30" ht="15.75" outlineLevel="1">
      <c r="A95" s="47" t="s">
        <v>89</v>
      </c>
      <c r="B95" s="48">
        <v>0</v>
      </c>
      <c r="C95" s="49"/>
      <c r="D95" s="48">
        <v>0</v>
      </c>
      <c r="E95" s="49"/>
      <c r="F95" s="48">
        <v>0</v>
      </c>
      <c r="G95" s="49"/>
      <c r="H95" s="48">
        <v>0</v>
      </c>
      <c r="I95" s="49"/>
      <c r="J95" s="48">
        <v>0</v>
      </c>
      <c r="K95" s="49"/>
      <c r="L95" s="48">
        <v>0</v>
      </c>
      <c r="M95" s="49"/>
      <c r="N95" s="48">
        <v>0</v>
      </c>
      <c r="O95" s="49"/>
      <c r="P95" s="48">
        <v>0</v>
      </c>
      <c r="Q95" s="49"/>
      <c r="R95" s="48">
        <v>0</v>
      </c>
      <c r="S95" s="49"/>
      <c r="T95" s="48">
        <v>0</v>
      </c>
      <c r="U95" s="49"/>
      <c r="V95" s="48">
        <v>0</v>
      </c>
      <c r="W95" s="49"/>
      <c r="X95" s="48">
        <v>0</v>
      </c>
      <c r="Y95" s="49"/>
      <c r="Z95" s="48">
        <v>0</v>
      </c>
      <c r="AA95" s="49"/>
      <c r="AC95" s="48">
        <v>0</v>
      </c>
      <c r="AD95" s="49"/>
    </row>
    <row r="96" spans="1:30" ht="15.75" outlineLevel="1">
      <c r="A96" s="47" t="s">
        <v>327</v>
      </c>
      <c r="B96" s="48">
        <v>1500</v>
      </c>
      <c r="C96" s="49"/>
      <c r="D96" s="48">
        <v>1500</v>
      </c>
      <c r="E96" s="49"/>
      <c r="F96" s="48">
        <v>1500</v>
      </c>
      <c r="G96" s="49"/>
      <c r="H96" s="48">
        <v>1500</v>
      </c>
      <c r="I96" s="49"/>
      <c r="J96" s="48">
        <v>1500</v>
      </c>
      <c r="K96" s="49"/>
      <c r="L96" s="48">
        <v>1500</v>
      </c>
      <c r="M96" s="49"/>
      <c r="N96" s="48">
        <v>1500</v>
      </c>
      <c r="O96" s="49"/>
      <c r="P96" s="48">
        <v>1500</v>
      </c>
      <c r="Q96" s="49"/>
      <c r="R96" s="48">
        <v>1500</v>
      </c>
      <c r="S96" s="49"/>
      <c r="T96" s="48">
        <v>1500</v>
      </c>
      <c r="U96" s="49"/>
      <c r="V96" s="48">
        <v>1500</v>
      </c>
      <c r="W96" s="49"/>
      <c r="X96" s="48">
        <v>1500</v>
      </c>
      <c r="Y96" s="49"/>
      <c r="Z96" s="48">
        <v>18000</v>
      </c>
      <c r="AA96" s="49"/>
      <c r="AC96" s="48">
        <v>18000</v>
      </c>
      <c r="AD96" s="49"/>
    </row>
    <row r="97" spans="1:30" ht="15.75" outlineLevel="1">
      <c r="A97" s="47" t="s">
        <v>138</v>
      </c>
      <c r="B97" s="48">
        <v>0</v>
      </c>
      <c r="C97" s="49"/>
      <c r="D97" s="48">
        <v>0</v>
      </c>
      <c r="E97" s="49"/>
      <c r="F97" s="48">
        <v>0</v>
      </c>
      <c r="G97" s="49"/>
      <c r="H97" s="48">
        <v>0</v>
      </c>
      <c r="I97" s="49"/>
      <c r="J97" s="48">
        <v>0</v>
      </c>
      <c r="K97" s="49"/>
      <c r="L97" s="48">
        <v>0</v>
      </c>
      <c r="M97" s="49"/>
      <c r="N97" s="48">
        <v>0</v>
      </c>
      <c r="O97" s="49"/>
      <c r="P97" s="48">
        <v>0</v>
      </c>
      <c r="Q97" s="49"/>
      <c r="R97" s="48">
        <v>0</v>
      </c>
      <c r="S97" s="49"/>
      <c r="T97" s="48">
        <v>0</v>
      </c>
      <c r="U97" s="49"/>
      <c r="V97" s="48">
        <v>0</v>
      </c>
      <c r="W97" s="49"/>
      <c r="X97" s="48">
        <v>0</v>
      </c>
      <c r="Y97" s="49"/>
      <c r="Z97" s="48">
        <v>0</v>
      </c>
      <c r="AA97" s="49"/>
      <c r="AC97" s="48">
        <v>0</v>
      </c>
      <c r="AD97" s="49"/>
    </row>
    <row r="98" spans="1:30" ht="15.75" outlineLevel="1">
      <c r="A98" s="47" t="s">
        <v>608</v>
      </c>
      <c r="B98" s="48">
        <v>0</v>
      </c>
      <c r="C98" s="49"/>
      <c r="D98" s="48">
        <v>0</v>
      </c>
      <c r="E98" s="49"/>
      <c r="F98" s="48">
        <v>0</v>
      </c>
      <c r="G98" s="49"/>
      <c r="H98" s="48">
        <v>0</v>
      </c>
      <c r="I98" s="49"/>
      <c r="J98" s="48">
        <v>0</v>
      </c>
      <c r="K98" s="49"/>
      <c r="L98" s="48">
        <v>0</v>
      </c>
      <c r="M98" s="49"/>
      <c r="N98" s="48">
        <v>0</v>
      </c>
      <c r="O98" s="49"/>
      <c r="P98" s="48">
        <v>0</v>
      </c>
      <c r="Q98" s="49"/>
      <c r="R98" s="48">
        <v>0</v>
      </c>
      <c r="S98" s="49"/>
      <c r="T98" s="48">
        <v>0</v>
      </c>
      <c r="U98" s="49"/>
      <c r="V98" s="48">
        <v>0</v>
      </c>
      <c r="W98" s="49"/>
      <c r="X98" s="48">
        <v>0</v>
      </c>
      <c r="Y98" s="49"/>
      <c r="Z98" s="48">
        <v>0</v>
      </c>
      <c r="AA98" s="49"/>
      <c r="AC98" s="48">
        <v>0</v>
      </c>
      <c r="AD98" s="49"/>
    </row>
    <row r="99" spans="1:30" ht="8.25" customHeight="1">
      <c r="C99" s="51"/>
      <c r="E99" s="51"/>
      <c r="G99" s="51"/>
      <c r="I99" s="51"/>
      <c r="K99" s="51"/>
      <c r="M99" s="51"/>
      <c r="O99" s="51"/>
      <c r="Q99" s="51"/>
      <c r="S99" s="51"/>
      <c r="U99" s="51"/>
      <c r="W99" s="51"/>
      <c r="Y99" s="51"/>
      <c r="AA99" s="51"/>
      <c r="AC99">
        <v>0</v>
      </c>
      <c r="AD99" s="51"/>
    </row>
    <row r="100" spans="1:30" s="55" customFormat="1" ht="18.75">
      <c r="A100" s="52" t="s">
        <v>469</v>
      </c>
      <c r="B100" s="53">
        <v>-101332</v>
      </c>
      <c r="C100" s="54"/>
      <c r="D100" s="53">
        <v>-53500</v>
      </c>
      <c r="E100" s="54"/>
      <c r="F100" s="53">
        <v>-20860</v>
      </c>
      <c r="G100" s="54"/>
      <c r="H100" s="53">
        <v>11830</v>
      </c>
      <c r="I100" s="54"/>
      <c r="J100" s="53">
        <v>44420</v>
      </c>
      <c r="K100" s="54"/>
      <c r="L100" s="53">
        <v>77060</v>
      </c>
      <c r="M100" s="54"/>
      <c r="N100" s="53">
        <v>87116</v>
      </c>
      <c r="O100" s="54"/>
      <c r="P100" s="53">
        <v>90572</v>
      </c>
      <c r="Q100" s="54"/>
      <c r="R100" s="53">
        <v>123212</v>
      </c>
      <c r="S100" s="54"/>
      <c r="T100" s="53">
        <v>155852</v>
      </c>
      <c r="U100" s="54"/>
      <c r="V100" s="53">
        <v>188492</v>
      </c>
      <c r="W100" s="54"/>
      <c r="X100" s="53">
        <v>235076</v>
      </c>
      <c r="Y100" s="54"/>
      <c r="Z100" s="53">
        <v>837938</v>
      </c>
      <c r="AA100" s="54"/>
      <c r="AC100" s="53">
        <v>2820912</v>
      </c>
      <c r="AD100" s="54"/>
    </row>
    <row r="101" spans="1:30" s="55" customFormat="1" ht="9" customHeight="1" thickBot="1">
      <c r="A101"/>
      <c r="B101"/>
      <c r="C101" s="51"/>
      <c r="D101"/>
      <c r="E101" s="51"/>
      <c r="F101"/>
      <c r="G101" s="51"/>
      <c r="H101"/>
      <c r="I101" s="51"/>
      <c r="J101"/>
      <c r="K101" s="51"/>
      <c r="L101"/>
      <c r="M101" s="51"/>
      <c r="N101"/>
      <c r="O101" s="51"/>
      <c r="P101"/>
      <c r="Q101" s="51"/>
      <c r="R101"/>
      <c r="S101" s="51"/>
      <c r="T101"/>
      <c r="U101" s="51"/>
      <c r="V101"/>
      <c r="W101" s="51"/>
      <c r="X101"/>
      <c r="Y101" s="51"/>
      <c r="Z101"/>
      <c r="AA101" s="51"/>
      <c r="AC101"/>
      <c r="AD101" s="51"/>
    </row>
    <row r="102" spans="1:30" s="55" customFormat="1" ht="21.75" thickBot="1">
      <c r="A102" s="56" t="s">
        <v>289</v>
      </c>
      <c r="B102" s="45">
        <v>12583.333333333334</v>
      </c>
      <c r="C102" s="46">
        <v>11.11</v>
      </c>
      <c r="D102" s="45">
        <v>18583.333333333336</v>
      </c>
      <c r="E102" s="46">
        <v>2.2942386831275724E-2</v>
      </c>
      <c r="F102" s="45">
        <v>24583.333333333336</v>
      </c>
      <c r="G102" s="46">
        <v>2.276234567901235E-2</v>
      </c>
      <c r="H102" s="45">
        <v>30583.333333333336</v>
      </c>
      <c r="I102" s="46">
        <v>2.2654320987654322E-2</v>
      </c>
      <c r="J102" s="45">
        <v>36666.666666666672</v>
      </c>
      <c r="K102" s="46">
        <v>2.2633744855967083E-2</v>
      </c>
      <c r="L102" s="45">
        <v>42666.666666666672</v>
      </c>
      <c r="M102" s="46">
        <v>2.2574955908289243E-2</v>
      </c>
      <c r="N102" s="45">
        <v>48833.333333333336</v>
      </c>
      <c r="O102" s="46">
        <v>2.2608024691358027E-2</v>
      </c>
      <c r="P102" s="45">
        <v>55166.666666666672</v>
      </c>
      <c r="Q102" s="46">
        <v>2.2702331961591223E-2</v>
      </c>
      <c r="R102" s="45">
        <v>61166.666666666672</v>
      </c>
      <c r="S102" s="46">
        <v>2.2654320987654322E-2</v>
      </c>
      <c r="T102" s="45">
        <v>67166.666666666672</v>
      </c>
      <c r="U102" s="46">
        <v>2.261503928170595E-2</v>
      </c>
      <c r="V102" s="45">
        <v>73166.666666666672</v>
      </c>
      <c r="W102" s="46">
        <v>2.2582304526748972E-2</v>
      </c>
      <c r="X102" s="45">
        <v>81166.666666666672</v>
      </c>
      <c r="Y102" s="46">
        <v>2.2546296296296297E-2</v>
      </c>
      <c r="Z102" s="45">
        <v>552333.33333333337</v>
      </c>
      <c r="AA102" s="46">
        <v>2.2645893125597925E-2</v>
      </c>
      <c r="AC102" s="45">
        <v>974000</v>
      </c>
      <c r="AD102" s="46">
        <v>2.2546296296296297E-2</v>
      </c>
    </row>
    <row r="103" spans="1:30" s="55" customFormat="1" ht="7.5" customHeight="1">
      <c r="A103"/>
      <c r="B103"/>
      <c r="C103" s="51"/>
      <c r="D103"/>
      <c r="E103" s="51"/>
      <c r="F103"/>
      <c r="G103" s="51"/>
      <c r="H103"/>
      <c r="I103" s="51"/>
      <c r="J103"/>
      <c r="K103" s="51"/>
      <c r="L103"/>
      <c r="M103" s="51"/>
      <c r="N103"/>
      <c r="O103" s="51"/>
      <c r="P103"/>
      <c r="Q103" s="51"/>
      <c r="R103"/>
      <c r="S103" s="51"/>
      <c r="T103"/>
      <c r="U103" s="51"/>
      <c r="V103"/>
      <c r="W103" s="51"/>
      <c r="X103"/>
      <c r="Y103" s="51"/>
      <c r="Z103"/>
      <c r="AA103" s="51"/>
      <c r="AC103"/>
      <c r="AD103" s="51"/>
    </row>
    <row r="104" spans="1:30" s="55" customFormat="1" ht="18.75">
      <c r="A104" s="52" t="s">
        <v>470</v>
      </c>
      <c r="B104" s="53">
        <v>-113915.33333333333</v>
      </c>
      <c r="C104" s="54"/>
      <c r="D104" s="53">
        <v>-72083.333333333343</v>
      </c>
      <c r="E104" s="54"/>
      <c r="F104" s="53">
        <v>-45443.333333333336</v>
      </c>
      <c r="G104" s="54"/>
      <c r="H104" s="53">
        <v>-18753.333333333336</v>
      </c>
      <c r="I104" s="54"/>
      <c r="J104" s="53">
        <v>7753.3333333333285</v>
      </c>
      <c r="K104" s="54"/>
      <c r="L104" s="53">
        <v>34393.333333333328</v>
      </c>
      <c r="M104" s="54"/>
      <c r="N104" s="53">
        <v>38282.666666666664</v>
      </c>
      <c r="O104" s="54"/>
      <c r="P104" s="53">
        <v>35405.333333333328</v>
      </c>
      <c r="Q104" s="54"/>
      <c r="R104" s="53">
        <v>62045.333333333328</v>
      </c>
      <c r="S104" s="54"/>
      <c r="T104" s="53">
        <v>88685.333333333328</v>
      </c>
      <c r="U104" s="54"/>
      <c r="V104" s="53">
        <v>115325.33333333333</v>
      </c>
      <c r="W104" s="54"/>
      <c r="X104" s="53">
        <v>153909.33333333331</v>
      </c>
      <c r="Y104" s="54"/>
      <c r="Z104" s="53">
        <v>285604.66666666657</v>
      </c>
      <c r="AA104" s="54"/>
      <c r="AC104" s="53">
        <v>1846911.9999999998</v>
      </c>
      <c r="AD104" s="54"/>
    </row>
    <row r="105" spans="1:30" s="55" customFormat="1" ht="8.25" customHeight="1" thickBot="1">
      <c r="A105"/>
      <c r="B105"/>
      <c r="C105" s="51"/>
      <c r="D105"/>
      <c r="E105" s="51"/>
      <c r="F105"/>
      <c r="G105" s="51"/>
      <c r="H105"/>
      <c r="I105" s="51"/>
      <c r="J105"/>
      <c r="K105" s="51"/>
      <c r="L105"/>
      <c r="M105" s="51"/>
      <c r="N105"/>
      <c r="O105" s="51"/>
      <c r="P105"/>
      <c r="Q105" s="51"/>
      <c r="R105"/>
      <c r="S105" s="51"/>
      <c r="T105"/>
      <c r="U105" s="51"/>
      <c r="V105"/>
      <c r="W105" s="51"/>
      <c r="X105"/>
      <c r="Y105" s="51"/>
      <c r="Z105"/>
      <c r="AA105" s="51"/>
      <c r="AC105"/>
      <c r="AD105" s="51"/>
    </row>
    <row r="106" spans="1:30" s="55" customFormat="1" ht="21.75" thickBot="1">
      <c r="A106" s="56" t="s">
        <v>329</v>
      </c>
      <c r="B106" s="45">
        <v>0</v>
      </c>
      <c r="C106" s="46">
        <v>0</v>
      </c>
      <c r="D106" s="45">
        <v>0</v>
      </c>
      <c r="E106" s="46">
        <v>0</v>
      </c>
      <c r="F106" s="45">
        <v>0</v>
      </c>
      <c r="G106" s="46">
        <v>0</v>
      </c>
      <c r="H106" s="45">
        <v>0</v>
      </c>
      <c r="I106" s="46">
        <v>0</v>
      </c>
      <c r="J106" s="45">
        <v>0</v>
      </c>
      <c r="K106" s="46">
        <v>0</v>
      </c>
      <c r="L106" s="45">
        <v>0</v>
      </c>
      <c r="M106" s="46">
        <v>0</v>
      </c>
      <c r="N106" s="45">
        <v>0</v>
      </c>
      <c r="O106" s="46">
        <v>0</v>
      </c>
      <c r="P106" s="45">
        <v>0</v>
      </c>
      <c r="Q106" s="46">
        <v>0</v>
      </c>
      <c r="R106" s="45">
        <v>0</v>
      </c>
      <c r="S106" s="46">
        <v>0</v>
      </c>
      <c r="T106" s="45">
        <v>0</v>
      </c>
      <c r="U106" s="46">
        <v>0</v>
      </c>
      <c r="V106" s="45">
        <v>0</v>
      </c>
      <c r="W106" s="46">
        <v>0</v>
      </c>
      <c r="X106" s="45">
        <v>0</v>
      </c>
      <c r="Y106" s="46">
        <v>0</v>
      </c>
      <c r="Z106" s="45">
        <v>0</v>
      </c>
      <c r="AA106" s="46">
        <v>0</v>
      </c>
      <c r="AC106" s="45"/>
      <c r="AD106" s="46">
        <v>0</v>
      </c>
    </row>
    <row r="107" spans="1:30" s="55" customFormat="1" ht="7.5" customHeight="1">
      <c r="A107"/>
      <c r="B107"/>
      <c r="C107" s="51"/>
      <c r="D107"/>
      <c r="E107" s="51"/>
      <c r="F107"/>
      <c r="G107" s="51"/>
      <c r="H107"/>
      <c r="I107" s="51"/>
      <c r="J107"/>
      <c r="K107" s="51"/>
      <c r="L107"/>
      <c r="M107" s="51"/>
      <c r="N107"/>
      <c r="O107" s="51"/>
      <c r="P107"/>
      <c r="Q107" s="51"/>
      <c r="R107"/>
      <c r="S107" s="51"/>
      <c r="T107"/>
      <c r="U107" s="51"/>
      <c r="V107"/>
      <c r="W107" s="51"/>
      <c r="X107"/>
      <c r="Y107" s="51"/>
      <c r="Z107"/>
      <c r="AA107" s="51"/>
      <c r="AC107"/>
      <c r="AD107" s="51"/>
    </row>
    <row r="108" spans="1:30" s="55" customFormat="1" ht="18.75">
      <c r="A108" s="52" t="s">
        <v>471</v>
      </c>
      <c r="B108" s="53">
        <v>-113915.33333333333</v>
      </c>
      <c r="C108" s="54"/>
      <c r="D108" s="53">
        <v>-72083.333333333343</v>
      </c>
      <c r="E108" s="54"/>
      <c r="F108" s="53">
        <v>-45443.333333333336</v>
      </c>
      <c r="G108" s="54"/>
      <c r="H108" s="53">
        <v>-18753.333333333336</v>
      </c>
      <c r="I108" s="54"/>
      <c r="J108" s="53">
        <v>7753.3333333333285</v>
      </c>
      <c r="K108" s="54"/>
      <c r="L108" s="53">
        <v>34393.333333333328</v>
      </c>
      <c r="M108" s="54"/>
      <c r="N108" s="53">
        <v>38282.666666666664</v>
      </c>
      <c r="O108" s="54"/>
      <c r="P108" s="53">
        <v>35405.333333333328</v>
      </c>
      <c r="Q108" s="54"/>
      <c r="R108" s="53">
        <v>62045.333333333328</v>
      </c>
      <c r="S108" s="54"/>
      <c r="T108" s="53">
        <v>88685.333333333328</v>
      </c>
      <c r="U108" s="54"/>
      <c r="V108" s="53">
        <v>115325.33333333333</v>
      </c>
      <c r="W108" s="54"/>
      <c r="X108" s="53">
        <v>153909.33333333331</v>
      </c>
      <c r="Y108" s="54"/>
      <c r="Z108" s="53">
        <v>285604.66666666657</v>
      </c>
      <c r="AA108" s="54"/>
      <c r="AC108" s="53">
        <v>1846911.9999999998</v>
      </c>
      <c r="AD108" s="54"/>
    </row>
    <row r="109" spans="1:30" ht="9" customHeight="1" thickBot="1">
      <c r="C109" s="51"/>
      <c r="E109" s="51"/>
      <c r="G109" s="51"/>
      <c r="I109" s="51"/>
      <c r="K109" s="51"/>
      <c r="M109" s="51"/>
      <c r="O109" s="51"/>
      <c r="Q109" s="51"/>
      <c r="S109" s="51"/>
      <c r="U109" s="51"/>
      <c r="W109" s="51"/>
      <c r="Y109" s="51"/>
      <c r="AA109" s="51"/>
      <c r="AD109" s="51"/>
    </row>
    <row r="110" spans="1:30" ht="21.75" thickBot="1">
      <c r="A110" s="56" t="s">
        <v>149</v>
      </c>
      <c r="B110" s="45">
        <v>0</v>
      </c>
      <c r="C110" s="46">
        <v>0</v>
      </c>
      <c r="D110" s="45">
        <v>0</v>
      </c>
      <c r="E110" s="46">
        <v>0</v>
      </c>
      <c r="F110" s="45">
        <v>7400</v>
      </c>
      <c r="G110" s="46">
        <v>6.851851851851852E-3</v>
      </c>
      <c r="H110" s="45">
        <v>7400</v>
      </c>
      <c r="I110" s="46">
        <v>5.4814814814814813E-3</v>
      </c>
      <c r="J110" s="45">
        <v>7400</v>
      </c>
      <c r="K110" s="46">
        <v>4.5679012345679016E-3</v>
      </c>
      <c r="L110" s="45">
        <v>7400</v>
      </c>
      <c r="M110" s="46">
        <v>3.9153439153439152E-3</v>
      </c>
      <c r="N110" s="45">
        <v>7400</v>
      </c>
      <c r="O110" s="46">
        <v>3.425925925925926E-3</v>
      </c>
      <c r="P110" s="45">
        <v>7400</v>
      </c>
      <c r="Q110" s="46">
        <v>3.0452674897119341E-3</v>
      </c>
      <c r="R110" s="45">
        <v>7400</v>
      </c>
      <c r="S110" s="46">
        <v>2.7407407407407406E-3</v>
      </c>
      <c r="T110" s="45">
        <v>7400</v>
      </c>
      <c r="U110" s="46">
        <v>2.4915824915824917E-3</v>
      </c>
      <c r="V110" s="45">
        <v>7400</v>
      </c>
      <c r="W110" s="46">
        <v>2.2839506172839508E-3</v>
      </c>
      <c r="X110" s="45">
        <v>7400</v>
      </c>
      <c r="Y110" s="46">
        <v>2.0555555555555557E-3</v>
      </c>
      <c r="Z110" s="45">
        <v>74000</v>
      </c>
      <c r="AA110" s="46">
        <v>3.0340303403034031E-3</v>
      </c>
      <c r="AC110" s="801">
        <v>350913.27999999997</v>
      </c>
      <c r="AD110" s="46">
        <v>8.1229925925925921E-3</v>
      </c>
    </row>
    <row r="111" spans="1:30" ht="9" customHeight="1" thickBot="1">
      <c r="C111" s="51"/>
      <c r="E111" s="51"/>
      <c r="G111" s="51"/>
      <c r="I111" s="51"/>
      <c r="K111" s="51"/>
      <c r="M111" s="51"/>
      <c r="O111" s="51"/>
      <c r="Q111" s="51"/>
      <c r="S111" s="51"/>
      <c r="U111" s="51"/>
      <c r="W111" s="51"/>
      <c r="Y111" s="51"/>
      <c r="AA111" s="51"/>
      <c r="AD111" s="51"/>
    </row>
    <row r="112" spans="1:30" ht="21.75" thickBot="1">
      <c r="A112" s="44" t="s">
        <v>447</v>
      </c>
      <c r="B112" s="45">
        <v>99291.999999999985</v>
      </c>
      <c r="C112" s="46">
        <v>3.1725641948105229E-3</v>
      </c>
      <c r="D112" s="45">
        <v>51438</v>
      </c>
      <c r="E112" s="46">
        <v>3.1725641948105229E-3</v>
      </c>
      <c r="F112" s="45">
        <v>52959</v>
      </c>
      <c r="G112" s="46">
        <v>4.9036111111111114E-2</v>
      </c>
      <c r="H112" s="45">
        <v>54480</v>
      </c>
      <c r="I112" s="46">
        <v>4.0355555555555554E-2</v>
      </c>
      <c r="J112" s="45">
        <v>56625.999999999985</v>
      </c>
      <c r="K112" s="46">
        <v>3.495432098765431E-2</v>
      </c>
      <c r="L112" s="45">
        <v>57522</v>
      </c>
      <c r="M112" s="46">
        <v>3.0434920634920634E-2</v>
      </c>
      <c r="N112" s="45">
        <v>60293.000000000015</v>
      </c>
      <c r="O112" s="46">
        <v>2.7913425925925932E-2</v>
      </c>
      <c r="P112" s="45">
        <v>62814</v>
      </c>
      <c r="Q112" s="46">
        <v>2.5849382716049384E-2</v>
      </c>
      <c r="R112" s="45">
        <v>61835.000000000015</v>
      </c>
      <c r="S112" s="46">
        <v>2.2901851851851857E-2</v>
      </c>
      <c r="T112" s="45">
        <v>63356.000000000015</v>
      </c>
      <c r="U112" s="46">
        <v>2.1331986531986535E-2</v>
      </c>
      <c r="V112" s="45">
        <v>64877.000000000015</v>
      </c>
      <c r="W112" s="46">
        <v>2.0023765432098769E-2</v>
      </c>
      <c r="X112" s="45">
        <v>81905.000000000058</v>
      </c>
      <c r="Y112" s="46">
        <v>2.2751388888888904E-2</v>
      </c>
      <c r="Z112" s="45">
        <v>767397</v>
      </c>
      <c r="AA112" s="46">
        <v>3.146359163591636E-2</v>
      </c>
      <c r="AC112" s="45"/>
      <c r="AD112" s="46">
        <v>0</v>
      </c>
    </row>
    <row r="113" spans="1:30" ht="8.25" customHeight="1" thickBot="1">
      <c r="C113" s="51"/>
      <c r="E113" s="51"/>
      <c r="G113" s="51"/>
      <c r="I113" s="51"/>
      <c r="K113" s="51"/>
      <c r="M113" s="51"/>
      <c r="O113" s="51"/>
      <c r="Q113" s="51"/>
      <c r="S113" s="51"/>
      <c r="U113" s="51"/>
      <c r="W113" s="51"/>
      <c r="Y113" s="51"/>
      <c r="AA113" s="51"/>
      <c r="AD113" s="51"/>
    </row>
    <row r="114" spans="1:30" ht="21.75" thickBot="1">
      <c r="A114" s="56" t="s">
        <v>293</v>
      </c>
      <c r="B114" s="45">
        <v>0</v>
      </c>
      <c r="C114" s="46">
        <v>2.0596082071148956E-3</v>
      </c>
      <c r="D114" s="45">
        <v>0</v>
      </c>
      <c r="E114" s="46">
        <v>2.0596082071148956E-3</v>
      </c>
      <c r="F114" s="45">
        <v>0</v>
      </c>
      <c r="G114" s="46">
        <v>0</v>
      </c>
      <c r="H114" s="45">
        <v>0</v>
      </c>
      <c r="I114" s="46">
        <v>0</v>
      </c>
      <c r="J114" s="45">
        <v>0</v>
      </c>
      <c r="K114" s="46">
        <v>0</v>
      </c>
      <c r="L114" s="45">
        <v>0</v>
      </c>
      <c r="M114" s="46">
        <v>0</v>
      </c>
      <c r="N114" s="45">
        <v>0</v>
      </c>
      <c r="O114" s="46">
        <v>0</v>
      </c>
      <c r="P114" s="45">
        <v>0</v>
      </c>
      <c r="Q114" s="46">
        <v>0</v>
      </c>
      <c r="R114" s="45">
        <v>0</v>
      </c>
      <c r="S114" s="46">
        <v>0</v>
      </c>
      <c r="T114" s="45">
        <v>0</v>
      </c>
      <c r="U114" s="46">
        <v>0</v>
      </c>
      <c r="V114" s="45">
        <v>0</v>
      </c>
      <c r="W114" s="46">
        <v>0</v>
      </c>
      <c r="X114" s="45">
        <v>0</v>
      </c>
      <c r="Y114" s="46">
        <v>0</v>
      </c>
      <c r="Z114" s="45">
        <v>0</v>
      </c>
      <c r="AA114" s="46">
        <v>0</v>
      </c>
      <c r="AC114" s="45">
        <v>0</v>
      </c>
      <c r="AD114" s="46">
        <v>0</v>
      </c>
    </row>
    <row r="115" spans="1:30" ht="8.25" customHeight="1" thickBot="1">
      <c r="C115" s="51"/>
      <c r="E115" s="51"/>
      <c r="G115" s="51"/>
      <c r="I115" s="51"/>
      <c r="K115" s="51"/>
      <c r="M115" s="51"/>
      <c r="O115" s="51"/>
      <c r="Q115" s="51"/>
      <c r="S115" s="51"/>
      <c r="U115" s="51"/>
      <c r="W115" s="51"/>
      <c r="Y115" s="51"/>
      <c r="AA115" s="51"/>
      <c r="AD115" s="51"/>
    </row>
    <row r="116" spans="1:30" ht="27" thickBot="1">
      <c r="A116" s="57" t="s">
        <v>472</v>
      </c>
      <c r="B116" s="58">
        <v>-14623.333333333343</v>
      </c>
      <c r="C116" s="59">
        <v>-2.7080246913580266E-2</v>
      </c>
      <c r="D116" s="58">
        <v>-20645.333333333343</v>
      </c>
      <c r="E116" s="59">
        <v>-2.548806584362141E-2</v>
      </c>
      <c r="F116" s="58">
        <v>115.66666666666424</v>
      </c>
      <c r="G116" s="59">
        <v>1.0709876543209651E-4</v>
      </c>
      <c r="H116" s="58">
        <v>28326.666666666664</v>
      </c>
      <c r="I116" s="59">
        <v>2.0982716049382715E-2</v>
      </c>
      <c r="J116" s="58">
        <v>56979.333333333314</v>
      </c>
      <c r="K116" s="59">
        <v>3.5172427983539083E-2</v>
      </c>
      <c r="L116" s="58">
        <v>84515.333333333328</v>
      </c>
      <c r="M116" s="59">
        <v>4.471710758377425E-2</v>
      </c>
      <c r="N116" s="58">
        <v>91175.666666666686</v>
      </c>
      <c r="O116" s="59">
        <v>4.2210956790123468E-2</v>
      </c>
      <c r="P116" s="58">
        <v>90819.333333333328</v>
      </c>
      <c r="Q116" s="59">
        <v>3.737421124828532E-2</v>
      </c>
      <c r="R116" s="58">
        <v>116480.33333333334</v>
      </c>
      <c r="S116" s="59">
        <v>4.3140864197530868E-2</v>
      </c>
      <c r="T116" s="58">
        <v>144641.33333333334</v>
      </c>
      <c r="U116" s="59">
        <v>4.8700785634118969E-2</v>
      </c>
      <c r="V116" s="58">
        <v>172802.33333333334</v>
      </c>
      <c r="W116" s="59">
        <v>5.3334053497942388E-2</v>
      </c>
      <c r="X116" s="58">
        <v>228414.33333333337</v>
      </c>
      <c r="Y116" s="59">
        <v>6.3448425925925936E-2</v>
      </c>
      <c r="Z116" s="58">
        <v>979001.66666666674</v>
      </c>
      <c r="AA116" s="59">
        <v>4.0139469728030619E-2</v>
      </c>
      <c r="AC116" s="58">
        <v>1495998.7199999997</v>
      </c>
      <c r="AD116" s="59">
        <v>3.4629599999999996E-2</v>
      </c>
    </row>
    <row r="119" spans="1:30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30">
      <c r="B120" s="20"/>
    </row>
  </sheetData>
  <mergeCells count="17">
    <mergeCell ref="AC4:AD4"/>
    <mergeCell ref="T4:U4"/>
    <mergeCell ref="V4:W4"/>
    <mergeCell ref="A1:AA1"/>
    <mergeCell ref="A2:AA2"/>
    <mergeCell ref="J4:K4"/>
    <mergeCell ref="A4:A5"/>
    <mergeCell ref="B4:C4"/>
    <mergeCell ref="D4:E4"/>
    <mergeCell ref="F4:G4"/>
    <mergeCell ref="H4:I4"/>
    <mergeCell ref="X4:Y4"/>
    <mergeCell ref="Z4:AA4"/>
    <mergeCell ref="L4:M4"/>
    <mergeCell ref="N4:O4"/>
    <mergeCell ref="P4:Q4"/>
    <mergeCell ref="R4:S4"/>
  </mergeCells>
  <pageMargins left="0.17" right="0.17" top="0.17" bottom="0.74803149606299213" header="0.31496062992125984" footer="0.31496062992125984"/>
  <pageSetup paperSize="9" scale="2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152"/>
  <sheetViews>
    <sheetView zoomScale="60" zoomScaleNormal="60" workbookViewId="0">
      <pane xSplit="1" ySplit="14" topLeftCell="N55" activePane="bottomRight" state="frozen"/>
      <selection pane="topRight" activeCell="B1" sqref="B1"/>
      <selection pane="bottomLeft" activeCell="A13" sqref="A13"/>
      <selection pane="bottomRight" activeCell="AD23" sqref="AD23"/>
    </sheetView>
  </sheetViews>
  <sheetFormatPr defaultRowHeight="15" outlineLevelRow="1" outlineLevelCol="1"/>
  <cols>
    <col min="1" max="1" width="59" customWidth="1"/>
    <col min="2" max="2" width="28.140625" customWidth="1" outlineLevel="1"/>
    <col min="3" max="3" width="16.85546875" customWidth="1" outlineLevel="1"/>
    <col min="4" max="4" width="28.140625" customWidth="1" outlineLevel="1"/>
    <col min="5" max="5" width="16.85546875" customWidth="1" outlineLevel="1"/>
    <col min="6" max="6" width="28.140625" customWidth="1" outlineLevel="1"/>
    <col min="7" max="7" width="16.85546875" customWidth="1" outlineLevel="1"/>
    <col min="8" max="8" width="28.140625" customWidth="1" outlineLevel="1"/>
    <col min="9" max="9" width="16.85546875" customWidth="1" outlineLevel="1"/>
    <col min="10" max="10" width="28.140625" customWidth="1" outlineLevel="1"/>
    <col min="11" max="11" width="16.85546875" customWidth="1" outlineLevel="1"/>
    <col min="12" max="12" width="28.140625" customWidth="1" outlineLevel="1"/>
    <col min="13" max="13" width="16.85546875" customWidth="1" outlineLevel="1"/>
    <col min="14" max="14" width="28.140625" customWidth="1" outlineLevel="1"/>
    <col min="15" max="15" width="16.85546875" customWidth="1" outlineLevel="1"/>
    <col min="16" max="16" width="28.140625" customWidth="1" outlineLevel="1"/>
    <col min="17" max="17" width="16.85546875" customWidth="1" outlineLevel="1"/>
    <col min="18" max="18" width="28.140625" customWidth="1" outlineLevel="1"/>
    <col min="19" max="19" width="16.85546875" customWidth="1" outlineLevel="1"/>
    <col min="20" max="20" width="28.140625" customWidth="1" outlineLevel="1"/>
    <col min="21" max="21" width="16.85546875" customWidth="1" outlineLevel="1"/>
    <col min="22" max="22" width="28.140625" customWidth="1" outlineLevel="1"/>
    <col min="23" max="23" width="16.85546875" customWidth="1" outlineLevel="1"/>
    <col min="24" max="24" width="28.140625" customWidth="1" outlineLevel="1"/>
    <col min="25" max="25" width="16.85546875" customWidth="1" outlineLevel="1"/>
    <col min="26" max="26" width="28.140625" customWidth="1"/>
    <col min="27" max="27" width="16.85546875" bestFit="1" customWidth="1"/>
    <col min="31" max="32" width="17.7109375" bestFit="1" customWidth="1"/>
  </cols>
  <sheetData>
    <row r="1" spans="1:32" ht="31.5">
      <c r="A1" s="17" t="s">
        <v>487</v>
      </c>
    </row>
    <row r="2" spans="1:32" ht="16.5" customHeight="1">
      <c r="A2" s="17"/>
    </row>
    <row r="3" spans="1:32" ht="26.25">
      <c r="A3" s="18" t="s">
        <v>488</v>
      </c>
    </row>
    <row r="4" spans="1:32" ht="15.75" thickBot="1">
      <c r="B4" s="20" t="e">
        <f>SUM(B14,B19:B27,B30:B44,B50:B64,B67:B85,B88:B97,B100:B114,B119:B134,B138,B142,B146,B150)</f>
        <v>#REF!</v>
      </c>
      <c r="D4" s="20" t="e">
        <f>SUM(D14,D19:D27,D30:D44,D50:D64,D67:D85,D88:D97,D100:D114,D119:D134,D138,D142,D146,D150)</f>
        <v>#REF!</v>
      </c>
      <c r="F4" s="20" t="e">
        <f>SUM(F14,F19:F27,F30:F44,F50:F64,F67:F85,F88:F97,F100:F114,F119:F134,F138,F142,F146,F150)</f>
        <v>#REF!</v>
      </c>
      <c r="H4" s="20" t="e">
        <f>SUM(H14,H19:H27,H30:H44,H50:H64,H67:H85,H88:H97,H100:H114,H119:H134,H138,H142,H146,H150)</f>
        <v>#REF!</v>
      </c>
      <c r="J4" s="20" t="e">
        <f>SUM(J14,J19:J27,J30:J44,J50:J64,J67:J85,J88:J97,J100:J114,J119:J134,J138,J142,J146,J150)</f>
        <v>#REF!</v>
      </c>
      <c r="L4" s="20" t="e">
        <f>SUM(L14,L19:L27,L30:L44,L50:L64,L67:L85,L88:L97,L100:L114,L119:L134,L138,L142,L146,L150)</f>
        <v>#REF!</v>
      </c>
      <c r="N4" s="20" t="e">
        <f>SUM(N14,N19:N27,N30:N44,N50:N64,N67:N85,N88:N97,N100:N114,N119:N134,N138,N142,N146,N150)</f>
        <v>#REF!</v>
      </c>
      <c r="P4" s="20" t="e">
        <f>SUM(P14,P19:P27,P30:P44,P50:P64,P67:P85,P88:P97,P100:P114,P119:P134,P138,P142,P146,P150)</f>
        <v>#REF!</v>
      </c>
      <c r="R4" s="20" t="e">
        <f>SUM(R14,R19:R27,R30:R44,R50:R64,R67:R85,R88:R97,R100:R114,R119:R134,R138,R142,R146,R150)</f>
        <v>#REF!</v>
      </c>
      <c r="T4" s="20" t="e">
        <f>SUM(T14,T19:T27,T30:T44,T50:T64,T67:T85,T88:T97,T100:T114,T119:T134,T138,T142,T146,T150)</f>
        <v>#REF!</v>
      </c>
      <c r="V4" s="20" t="e">
        <f>SUM(V14,V19:V27,V30:V44,V50:V64,V67:V85,V88:V97,V100:V114,V119:V134,V138,V142,V146,V150)</f>
        <v>#REF!</v>
      </c>
      <c r="X4" s="20" t="e">
        <f>SUM(X14,X19:X27,X30:X44,X50:X64,X67:X85,X88:X97,X100:X114,X119:X134,X138,X142,X146,X150)</f>
        <v>#REF!</v>
      </c>
      <c r="Z4" s="20" t="e">
        <f>SUM(Z14,Z19:Z27,Z30:Z44,Z50:Z64,Z67:Z85,Z88:Z97,Z100:Z114,Z119:Z134,Z138,Z142,Z146,Z150)</f>
        <v>#REF!</v>
      </c>
    </row>
    <row r="5" spans="1:32" ht="21.75" customHeight="1" thickBot="1">
      <c r="A5" s="901" t="s">
        <v>459</v>
      </c>
      <c r="B5" s="903" t="s">
        <v>473</v>
      </c>
      <c r="C5" s="904"/>
      <c r="D5" s="903" t="s">
        <v>474</v>
      </c>
      <c r="E5" s="904"/>
      <c r="F5" s="903" t="s">
        <v>475</v>
      </c>
      <c r="G5" s="904"/>
      <c r="H5" s="903" t="s">
        <v>476</v>
      </c>
      <c r="I5" s="904"/>
      <c r="J5" s="903" t="s">
        <v>477</v>
      </c>
      <c r="K5" s="904"/>
      <c r="L5" s="903" t="s">
        <v>478</v>
      </c>
      <c r="M5" s="904"/>
      <c r="N5" s="903" t="s">
        <v>479</v>
      </c>
      <c r="O5" s="904"/>
      <c r="P5" s="903" t="s">
        <v>480</v>
      </c>
      <c r="Q5" s="904"/>
      <c r="R5" s="903" t="s">
        <v>481</v>
      </c>
      <c r="S5" s="904"/>
      <c r="T5" s="903" t="s">
        <v>482</v>
      </c>
      <c r="U5" s="904"/>
      <c r="V5" s="903" t="s">
        <v>483</v>
      </c>
      <c r="W5" s="904"/>
      <c r="X5" s="903" t="s">
        <v>484</v>
      </c>
      <c r="Y5" s="904"/>
      <c r="Z5" s="903" t="s">
        <v>485</v>
      </c>
      <c r="AA5" s="904"/>
    </row>
    <row r="6" spans="1:32" ht="19.5" thickBot="1">
      <c r="A6" s="902"/>
      <c r="B6" s="22" t="s">
        <v>460</v>
      </c>
      <c r="C6" s="23" t="s">
        <v>461</v>
      </c>
      <c r="D6" s="22" t="s">
        <v>460</v>
      </c>
      <c r="E6" s="23" t="s">
        <v>461</v>
      </c>
      <c r="F6" s="22" t="s">
        <v>460</v>
      </c>
      <c r="G6" s="23" t="s">
        <v>461</v>
      </c>
      <c r="H6" s="22" t="s">
        <v>460</v>
      </c>
      <c r="I6" s="23" t="s">
        <v>461</v>
      </c>
      <c r="J6" s="22" t="s">
        <v>460</v>
      </c>
      <c r="K6" s="23" t="s">
        <v>461</v>
      </c>
      <c r="L6" s="22" t="s">
        <v>460</v>
      </c>
      <c r="M6" s="23" t="s">
        <v>461</v>
      </c>
      <c r="N6" s="22" t="s">
        <v>460</v>
      </c>
      <c r="O6" s="23" t="s">
        <v>461</v>
      </c>
      <c r="P6" s="22" t="s">
        <v>460</v>
      </c>
      <c r="Q6" s="23" t="s">
        <v>461</v>
      </c>
      <c r="R6" s="22" t="s">
        <v>460</v>
      </c>
      <c r="S6" s="23" t="s">
        <v>461</v>
      </c>
      <c r="T6" s="22" t="s">
        <v>460</v>
      </c>
      <c r="U6" s="23" t="s">
        <v>461</v>
      </c>
      <c r="V6" s="22" t="s">
        <v>460</v>
      </c>
      <c r="W6" s="23" t="s">
        <v>461</v>
      </c>
      <c r="X6" s="22" t="s">
        <v>460</v>
      </c>
      <c r="Y6" s="23" t="s">
        <v>461</v>
      </c>
      <c r="Z6" s="22" t="s">
        <v>460</v>
      </c>
      <c r="AA6" s="23" t="s">
        <v>461</v>
      </c>
    </row>
    <row r="7" spans="1:32" ht="15.75">
      <c r="A7" s="24" t="s">
        <v>453</v>
      </c>
      <c r="B7" s="25" t="e">
        <f>VLOOKUP($A7,#REF!,2,0)</f>
        <v>#REF!</v>
      </c>
      <c r="C7" s="26"/>
      <c r="D7" s="25" t="e">
        <f>VLOOKUP($A7,#REF!,3,0)</f>
        <v>#REF!</v>
      </c>
      <c r="E7" s="26"/>
      <c r="F7" s="25" t="e">
        <f>VLOOKUP($A7,#REF!,4,0)</f>
        <v>#REF!</v>
      </c>
      <c r="G7" s="26"/>
      <c r="H7" s="25" t="e">
        <f>VLOOKUP($A7,#REF!,5,0)</f>
        <v>#REF!</v>
      </c>
      <c r="I7" s="26"/>
      <c r="J7" s="25" t="e">
        <f>VLOOKUP($A7,#REF!,6,0)</f>
        <v>#REF!</v>
      </c>
      <c r="K7" s="26"/>
      <c r="L7" s="25" t="e">
        <f>VLOOKUP($A7,#REF!,7,0)</f>
        <v>#REF!</v>
      </c>
      <c r="M7" s="26"/>
      <c r="N7" s="25" t="e">
        <f>VLOOKUP($A7,#REF!,8,0)</f>
        <v>#REF!</v>
      </c>
      <c r="O7" s="26"/>
      <c r="P7" s="25" t="e">
        <f>VLOOKUP($A7,#REF!,9,0)</f>
        <v>#REF!</v>
      </c>
      <c r="Q7" s="26"/>
      <c r="R7" s="25" t="e">
        <f>VLOOKUP($A7,#REF!,10,0)</f>
        <v>#REF!</v>
      </c>
      <c r="S7" s="26"/>
      <c r="T7" s="25" t="e">
        <f>VLOOKUP($A7,#REF!,11,0)</f>
        <v>#REF!</v>
      </c>
      <c r="U7" s="26"/>
      <c r="V7" s="25" t="e">
        <f>VLOOKUP($A7,#REF!,12,0)</f>
        <v>#REF!</v>
      </c>
      <c r="W7" s="26"/>
      <c r="X7" s="25" t="e">
        <f>VLOOKUP($A7,#REF!,13,0)</f>
        <v>#REF!</v>
      </c>
      <c r="Y7" s="26"/>
      <c r="Z7" s="25" t="e">
        <f>VLOOKUP($A7,#REF!,14,0)</f>
        <v>#REF!</v>
      </c>
      <c r="AA7" s="26"/>
    </row>
    <row r="8" spans="1:32" s="29" customFormat="1" ht="15.75">
      <c r="A8" s="24" t="s">
        <v>452</v>
      </c>
      <c r="B8" s="27" t="e">
        <f>VLOOKUP($A8,#REF!,2,0)</f>
        <v>#REF!</v>
      </c>
      <c r="C8" s="28"/>
      <c r="D8" s="27" t="e">
        <f>VLOOKUP($A8,#REF!,3,0)</f>
        <v>#REF!</v>
      </c>
      <c r="E8" s="28"/>
      <c r="F8" s="27" t="e">
        <f>VLOOKUP($A8,#REF!,4,0)</f>
        <v>#REF!</v>
      </c>
      <c r="G8" s="28"/>
      <c r="H8" s="27" t="e">
        <f>VLOOKUP($A8,#REF!,5,0)</f>
        <v>#REF!</v>
      </c>
      <c r="I8" s="28"/>
      <c r="J8" s="27" t="e">
        <f>VLOOKUP($A8,#REF!,6,0)</f>
        <v>#REF!</v>
      </c>
      <c r="K8" s="28"/>
      <c r="L8" s="27" t="e">
        <f>VLOOKUP($A8,#REF!,7,0)</f>
        <v>#REF!</v>
      </c>
      <c r="M8" s="28"/>
      <c r="N8" s="27" t="e">
        <f>VLOOKUP($A8,#REF!,8,0)</f>
        <v>#REF!</v>
      </c>
      <c r="O8" s="28"/>
      <c r="P8" s="27" t="e">
        <f>VLOOKUP($A8,#REF!,9,0)</f>
        <v>#REF!</v>
      </c>
      <c r="Q8" s="28"/>
      <c r="R8" s="27" t="e">
        <f>VLOOKUP($A8,#REF!,10,0)</f>
        <v>#REF!</v>
      </c>
      <c r="S8" s="28"/>
      <c r="T8" s="27" t="e">
        <f>VLOOKUP($A8,#REF!,11,0)</f>
        <v>#REF!</v>
      </c>
      <c r="U8" s="28"/>
      <c r="V8" s="27" t="e">
        <f>VLOOKUP($A8,#REF!,12,0)</f>
        <v>#REF!</v>
      </c>
      <c r="W8" s="28"/>
      <c r="X8" s="27" t="e">
        <f>VLOOKUP($A8,#REF!,13,0)</f>
        <v>#REF!</v>
      </c>
      <c r="Y8" s="28"/>
      <c r="Z8" s="27" t="e">
        <f>VLOOKUP($A8,#REF!,14,0)</f>
        <v>#REF!</v>
      </c>
      <c r="AA8" s="28"/>
    </row>
    <row r="9" spans="1:32" ht="8.25" customHeight="1" thickBo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32" s="60" customFormat="1" ht="21.75" thickBot="1">
      <c r="A10" s="33" t="s">
        <v>486</v>
      </c>
      <c r="B10" s="31" t="e">
        <f>SUM(B11:B12)</f>
        <v>#REF!</v>
      </c>
      <c r="C10" s="32">
        <v>0</v>
      </c>
      <c r="D10" s="31" t="e">
        <f>SUM(D11:D12)</f>
        <v>#REF!</v>
      </c>
      <c r="E10" s="32">
        <v>0</v>
      </c>
      <c r="F10" s="31" t="e">
        <f>SUM(F11:F12)</f>
        <v>#REF!</v>
      </c>
      <c r="G10" s="32">
        <v>0</v>
      </c>
      <c r="H10" s="31" t="e">
        <f>SUM(H11:H12)</f>
        <v>#REF!</v>
      </c>
      <c r="I10" s="32">
        <v>0</v>
      </c>
      <c r="J10" s="31" t="e">
        <f>SUM(J11:J12)</f>
        <v>#REF!</v>
      </c>
      <c r="K10" s="32">
        <v>0</v>
      </c>
      <c r="L10" s="31" t="e">
        <f>SUM(L11:L12)</f>
        <v>#REF!</v>
      </c>
      <c r="M10" s="32">
        <v>0</v>
      </c>
      <c r="N10" s="31" t="e">
        <f>SUM(N11:N12)</f>
        <v>#REF!</v>
      </c>
      <c r="O10" s="32">
        <v>0</v>
      </c>
      <c r="P10" s="31" t="e">
        <f>SUM(P11:P12)</f>
        <v>#REF!</v>
      </c>
      <c r="Q10" s="32">
        <v>0</v>
      </c>
      <c r="R10" s="31" t="e">
        <f>SUM(R11:R12)</f>
        <v>#REF!</v>
      </c>
      <c r="S10" s="32">
        <v>0</v>
      </c>
      <c r="T10" s="31" t="e">
        <f>SUM(T11:T12)</f>
        <v>#REF!</v>
      </c>
      <c r="U10" s="32">
        <v>0</v>
      </c>
      <c r="V10" s="31" t="e">
        <f>SUM(V11:V12)</f>
        <v>#REF!</v>
      </c>
      <c r="W10" s="32">
        <v>0</v>
      </c>
      <c r="X10" s="31" t="e">
        <f>SUM(X11:X12)</f>
        <v>#REF!</v>
      </c>
      <c r="Y10" s="32">
        <v>0</v>
      </c>
      <c r="Z10" s="31" t="e">
        <f>SUM(Z11:Z12)</f>
        <v>#REF!</v>
      </c>
      <c r="AA10" s="32">
        <v>0</v>
      </c>
    </row>
    <row r="11" spans="1:32" s="64" customFormat="1" ht="19.5" thickBot="1">
      <c r="A11" s="61" t="s">
        <v>450</v>
      </c>
      <c r="B11" s="62" t="e">
        <f>VLOOKUP($A11,#REF!,2,0)</f>
        <v>#REF!</v>
      </c>
      <c r="C11" s="63" t="e">
        <f>B48/B11</f>
        <v>#REF!</v>
      </c>
      <c r="D11" s="62" t="e">
        <f>VLOOKUP($A11,#REF!,3,0)</f>
        <v>#REF!</v>
      </c>
      <c r="E11" s="63" t="e">
        <f>D48/D11</f>
        <v>#REF!</v>
      </c>
      <c r="F11" s="62" t="e">
        <f>VLOOKUP($A11,#REF!,4,0)</f>
        <v>#REF!</v>
      </c>
      <c r="G11" s="63" t="e">
        <f>F48/F11</f>
        <v>#REF!</v>
      </c>
      <c r="H11" s="62" t="e">
        <f>VLOOKUP($A11,#REF!,5,0)</f>
        <v>#REF!</v>
      </c>
      <c r="I11" s="63" t="e">
        <f>H48/H11</f>
        <v>#REF!</v>
      </c>
      <c r="J11" s="62" t="e">
        <f>VLOOKUP($A11,#REF!,6,0)</f>
        <v>#REF!</v>
      </c>
      <c r="K11" s="63" t="e">
        <f>J48/J11</f>
        <v>#REF!</v>
      </c>
      <c r="L11" s="62" t="e">
        <f>VLOOKUP($A11,#REF!,7,0)</f>
        <v>#REF!</v>
      </c>
      <c r="M11" s="63" t="e">
        <f>L48/L11</f>
        <v>#REF!</v>
      </c>
      <c r="N11" s="62" t="e">
        <f>VLOOKUP($A11,#REF!,8,0)</f>
        <v>#REF!</v>
      </c>
      <c r="O11" s="63" t="e">
        <f>N48/N11</f>
        <v>#REF!</v>
      </c>
      <c r="P11" s="62" t="e">
        <f>VLOOKUP($A11,#REF!,9,0)</f>
        <v>#REF!</v>
      </c>
      <c r="Q11" s="63" t="e">
        <f>P48/P11</f>
        <v>#REF!</v>
      </c>
      <c r="R11" s="62" t="e">
        <f>VLOOKUP($A11,#REF!,10,0)</f>
        <v>#REF!</v>
      </c>
      <c r="S11" s="63" t="e">
        <f>R48/R11</f>
        <v>#REF!</v>
      </c>
      <c r="T11" s="62" t="e">
        <f>VLOOKUP($A11,#REF!,11,0)</f>
        <v>#REF!</v>
      </c>
      <c r="U11" s="63" t="e">
        <f>T48/T11</f>
        <v>#REF!</v>
      </c>
      <c r="V11" s="62" t="e">
        <f>VLOOKUP($A11,#REF!,12,0)</f>
        <v>#REF!</v>
      </c>
      <c r="W11" s="63" t="e">
        <f>V48/V11</f>
        <v>#REF!</v>
      </c>
      <c r="X11" s="62" t="e">
        <f>VLOOKUP($A11,#REF!,13,0)</f>
        <v>#REF!</v>
      </c>
      <c r="Y11" s="63" t="e">
        <f>X48/X11</f>
        <v>#REF!</v>
      </c>
      <c r="Z11" s="62" t="e">
        <f>VLOOKUP($A11,#REF!,14,0)</f>
        <v>#REF!</v>
      </c>
      <c r="AA11" s="63" t="e">
        <f>Z48/Z11</f>
        <v>#REF!</v>
      </c>
    </row>
    <row r="12" spans="1:32" s="64" customFormat="1" ht="19.5" thickBot="1">
      <c r="A12" s="61" t="s">
        <v>451</v>
      </c>
      <c r="B12" s="62" t="e">
        <f>VLOOKUP($A12,#REF!,2,0)</f>
        <v>#REF!</v>
      </c>
      <c r="C12" s="63" t="e">
        <f>B66/B12</f>
        <v>#REF!</v>
      </c>
      <c r="D12" s="62" t="e">
        <f>VLOOKUP($A12,#REF!,3,0)</f>
        <v>#REF!</v>
      </c>
      <c r="E12" s="63" t="e">
        <f>D66/D12</f>
        <v>#REF!</v>
      </c>
      <c r="F12" s="62" t="e">
        <f>VLOOKUP($A12,#REF!,4,0)</f>
        <v>#REF!</v>
      </c>
      <c r="G12" s="63" t="e">
        <f>F66/F12</f>
        <v>#REF!</v>
      </c>
      <c r="H12" s="62" t="e">
        <f>VLOOKUP($A12,#REF!,5,0)</f>
        <v>#REF!</v>
      </c>
      <c r="I12" s="63" t="e">
        <f>H66/H12</f>
        <v>#REF!</v>
      </c>
      <c r="J12" s="62" t="e">
        <f>VLOOKUP($A12,#REF!,6,0)</f>
        <v>#REF!</v>
      </c>
      <c r="K12" s="63" t="e">
        <f>J66/J12</f>
        <v>#REF!</v>
      </c>
      <c r="L12" s="62" t="e">
        <f>VLOOKUP($A12,#REF!,7,0)</f>
        <v>#REF!</v>
      </c>
      <c r="M12" s="63" t="e">
        <f>L66/L12</f>
        <v>#REF!</v>
      </c>
      <c r="N12" s="62" t="e">
        <f>VLOOKUP($A12,#REF!,8,0)</f>
        <v>#REF!</v>
      </c>
      <c r="O12" s="63" t="e">
        <f>N66/N12</f>
        <v>#REF!</v>
      </c>
      <c r="P12" s="62" t="e">
        <f>VLOOKUP($A12,#REF!,9,0)</f>
        <v>#REF!</v>
      </c>
      <c r="Q12" s="63" t="e">
        <f>P66/P12</f>
        <v>#REF!</v>
      </c>
      <c r="R12" s="62" t="e">
        <f>VLOOKUP($A12,#REF!,10,0)</f>
        <v>#REF!</v>
      </c>
      <c r="S12" s="63" t="e">
        <f>R66/R12</f>
        <v>#REF!</v>
      </c>
      <c r="T12" s="62" t="e">
        <f>VLOOKUP($A12,#REF!,11,0)</f>
        <v>#REF!</v>
      </c>
      <c r="U12" s="63" t="e">
        <f>T66/T12</f>
        <v>#REF!</v>
      </c>
      <c r="V12" s="62" t="e">
        <f>VLOOKUP($A12,#REF!,12,0)</f>
        <v>#REF!</v>
      </c>
      <c r="W12" s="63" t="e">
        <f>V66/V12</f>
        <v>#REF!</v>
      </c>
      <c r="X12" s="62" t="e">
        <f>VLOOKUP($A12,#REF!,13,0)</f>
        <v>#REF!</v>
      </c>
      <c r="Y12" s="63" t="e">
        <f>X66/X12</f>
        <v>#REF!</v>
      </c>
      <c r="Z12" s="62" t="e">
        <f>VLOOKUP($A12,#REF!,14,0)</f>
        <v>#REF!</v>
      </c>
      <c r="AA12" s="63" t="e">
        <f>Z66/Z12</f>
        <v>#REF!</v>
      </c>
    </row>
    <row r="13" spans="1:32" ht="21.75" thickBot="1">
      <c r="A13" s="33" t="s">
        <v>448</v>
      </c>
      <c r="B13" s="31" t="e">
        <f>VLOOKUP($A13,#REF!,2,0)</f>
        <v>#REF!</v>
      </c>
      <c r="C13" s="32">
        <v>1</v>
      </c>
      <c r="D13" s="31" t="e">
        <f>VLOOKUP($A13,#REF!,3,0)</f>
        <v>#REF!</v>
      </c>
      <c r="E13" s="32">
        <v>1</v>
      </c>
      <c r="F13" s="31" t="e">
        <f>VLOOKUP($A13,#REF!,4,0)</f>
        <v>#REF!</v>
      </c>
      <c r="G13" s="32">
        <v>1</v>
      </c>
      <c r="H13" s="31" t="e">
        <f>VLOOKUP($A13,#REF!,5,0)</f>
        <v>#REF!</v>
      </c>
      <c r="I13" s="32">
        <v>1</v>
      </c>
      <c r="J13" s="31" t="e">
        <f>VLOOKUP($A13,#REF!,6,0)</f>
        <v>#REF!</v>
      </c>
      <c r="K13" s="32">
        <v>1</v>
      </c>
      <c r="L13" s="31" t="e">
        <f>VLOOKUP($A13,#REF!,7,0)</f>
        <v>#REF!</v>
      </c>
      <c r="M13" s="32">
        <v>1</v>
      </c>
      <c r="N13" s="31" t="e">
        <f>VLOOKUP($A13,#REF!,8,0)</f>
        <v>#REF!</v>
      </c>
      <c r="O13" s="32">
        <v>1</v>
      </c>
      <c r="P13" s="31" t="e">
        <f>VLOOKUP($A13,#REF!,9,0)</f>
        <v>#REF!</v>
      </c>
      <c r="Q13" s="32">
        <v>1</v>
      </c>
      <c r="R13" s="31" t="e">
        <f>VLOOKUP($A13,#REF!,10,0)</f>
        <v>#REF!</v>
      </c>
      <c r="S13" s="32">
        <v>1</v>
      </c>
      <c r="T13" s="31" t="e">
        <f>VLOOKUP($A13,#REF!,11,0)</f>
        <v>#REF!</v>
      </c>
      <c r="U13" s="32">
        <v>1</v>
      </c>
      <c r="V13" s="31" t="e">
        <f>VLOOKUP($A13,#REF!,12,0)</f>
        <v>#REF!</v>
      </c>
      <c r="W13" s="32">
        <v>1</v>
      </c>
      <c r="X13" s="31" t="e">
        <f>VLOOKUP($A13,#REF!,13,0)</f>
        <v>#REF!</v>
      </c>
      <c r="Y13" s="32">
        <v>1</v>
      </c>
      <c r="Z13" s="31" t="e">
        <f>VLOOKUP($A13,#REF!,14,0)</f>
        <v>#REF!</v>
      </c>
      <c r="AA13" s="32">
        <v>1</v>
      </c>
    </row>
    <row r="14" spans="1:32" ht="21.75" thickBot="1">
      <c r="A14" s="38" t="s">
        <v>292</v>
      </c>
      <c r="B14" s="39" t="e">
        <f>VLOOKUP($A14,#REF!,2,0)</f>
        <v>#REF!</v>
      </c>
      <c r="C14" s="40" t="e">
        <f>B14/B$13</f>
        <v>#REF!</v>
      </c>
      <c r="D14" s="39" t="e">
        <f>VLOOKUP($A14,#REF!,3,0)</f>
        <v>#REF!</v>
      </c>
      <c r="E14" s="40" t="e">
        <f>D14/D$13</f>
        <v>#REF!</v>
      </c>
      <c r="F14" s="39" t="e">
        <f>VLOOKUP($A14,#REF!,4,0)</f>
        <v>#REF!</v>
      </c>
      <c r="G14" s="40" t="e">
        <f>F14/F$13</f>
        <v>#REF!</v>
      </c>
      <c r="H14" s="39" t="e">
        <f>VLOOKUP($A14,#REF!,5,0)</f>
        <v>#REF!</v>
      </c>
      <c r="I14" s="40" t="e">
        <f>H14/H$13</f>
        <v>#REF!</v>
      </c>
      <c r="J14" s="39" t="e">
        <f>VLOOKUP($A14,#REF!,6,0)</f>
        <v>#REF!</v>
      </c>
      <c r="K14" s="40" t="e">
        <f>J14/J$13</f>
        <v>#REF!</v>
      </c>
      <c r="L14" s="39" t="e">
        <f>VLOOKUP($A14,#REF!,7,0)</f>
        <v>#REF!</v>
      </c>
      <c r="M14" s="40" t="e">
        <f>L14/L$13</f>
        <v>#REF!</v>
      </c>
      <c r="N14" s="39" t="e">
        <f>VLOOKUP($A14,#REF!,8,0)</f>
        <v>#REF!</v>
      </c>
      <c r="O14" s="40" t="e">
        <f>N14/N$13</f>
        <v>#REF!</v>
      </c>
      <c r="P14" s="39" t="e">
        <f>VLOOKUP($A14,#REF!,9,0)</f>
        <v>#REF!</v>
      </c>
      <c r="Q14" s="40" t="e">
        <f>P14/P$13</f>
        <v>#REF!</v>
      </c>
      <c r="R14" s="39" t="e">
        <f>VLOOKUP($A14,#REF!,10,0)</f>
        <v>#REF!</v>
      </c>
      <c r="S14" s="40" t="e">
        <f>R14/R$13</f>
        <v>#REF!</v>
      </c>
      <c r="T14" s="39" t="e">
        <f>VLOOKUP($A14,#REF!,11,0)</f>
        <v>#REF!</v>
      </c>
      <c r="U14" s="40" t="e">
        <f>T14/T$13</f>
        <v>#REF!</v>
      </c>
      <c r="V14" s="39" t="e">
        <f>VLOOKUP($A14,#REF!,12,0)</f>
        <v>#REF!</v>
      </c>
      <c r="W14" s="40" t="e">
        <f>V14/V$13</f>
        <v>#REF!</v>
      </c>
      <c r="X14" s="39" t="e">
        <f>VLOOKUP($A14,#REF!,13,0)</f>
        <v>#REF!</v>
      </c>
      <c r="Y14" s="40" t="e">
        <f>X14/X$13</f>
        <v>#REF!</v>
      </c>
      <c r="Z14" s="39" t="e">
        <f>VLOOKUP($A14,#REF!,14,0)</f>
        <v>#REF!</v>
      </c>
      <c r="AA14" s="40" t="e">
        <f>Z14/Z$13</f>
        <v>#REF!</v>
      </c>
      <c r="AE14" s="20" t="e">
        <f>Z14*0.02</f>
        <v>#REF!</v>
      </c>
    </row>
    <row r="15" spans="1:32" ht="9" customHeight="1"/>
    <row r="16" spans="1:32" ht="21">
      <c r="A16" s="41" t="s">
        <v>464</v>
      </c>
      <c r="B16" s="42" t="e">
        <f>B10-B14</f>
        <v>#REF!</v>
      </c>
      <c r="C16" s="43" t="e">
        <f>B16/B$13</f>
        <v>#REF!</v>
      </c>
      <c r="D16" s="42" t="e">
        <f>D10-D14</f>
        <v>#REF!</v>
      </c>
      <c r="E16" s="43" t="e">
        <f>D16/D$13</f>
        <v>#REF!</v>
      </c>
      <c r="F16" s="42" t="e">
        <f>F10-F14</f>
        <v>#REF!</v>
      </c>
      <c r="G16" s="43" t="e">
        <f>F16/F$13</f>
        <v>#REF!</v>
      </c>
      <c r="H16" s="42" t="e">
        <f>H10-H14</f>
        <v>#REF!</v>
      </c>
      <c r="I16" s="43" t="e">
        <f>H16/H$13</f>
        <v>#REF!</v>
      </c>
      <c r="J16" s="42" t="e">
        <f>J10-J14</f>
        <v>#REF!</v>
      </c>
      <c r="K16" s="43" t="e">
        <f>J16/J$13</f>
        <v>#REF!</v>
      </c>
      <c r="L16" s="42" t="e">
        <f>L10-L14</f>
        <v>#REF!</v>
      </c>
      <c r="M16" s="43" t="e">
        <f>L16/L$13</f>
        <v>#REF!</v>
      </c>
      <c r="N16" s="42" t="e">
        <f>N10-N14</f>
        <v>#REF!</v>
      </c>
      <c r="O16" s="43" t="e">
        <f>N16/N$13</f>
        <v>#REF!</v>
      </c>
      <c r="P16" s="42" t="e">
        <f>P10-P14</f>
        <v>#REF!</v>
      </c>
      <c r="Q16" s="43" t="e">
        <f>P16/P$13</f>
        <v>#REF!</v>
      </c>
      <c r="R16" s="42" t="e">
        <f>R10-R14</f>
        <v>#REF!</v>
      </c>
      <c r="S16" s="43" t="e">
        <f>R16/R$13</f>
        <v>#REF!</v>
      </c>
      <c r="T16" s="42" t="e">
        <f>T10-T14</f>
        <v>#REF!</v>
      </c>
      <c r="U16" s="43" t="e">
        <f>T16/T$13</f>
        <v>#REF!</v>
      </c>
      <c r="V16" s="42" t="e">
        <f>V10-V14</f>
        <v>#REF!</v>
      </c>
      <c r="W16" s="43" t="e">
        <f>V16/V$13</f>
        <v>#REF!</v>
      </c>
      <c r="X16" s="42" t="e">
        <f>X10-X14</f>
        <v>#REF!</v>
      </c>
      <c r="Y16" s="43" t="e">
        <f>X16/X$13</f>
        <v>#REF!</v>
      </c>
      <c r="Z16" s="42" t="e">
        <f>Z10-Z14</f>
        <v>#REF!</v>
      </c>
      <c r="AA16" s="43" t="e">
        <f>Z16/Z$13</f>
        <v>#REF!</v>
      </c>
      <c r="AE16" s="20" t="e">
        <f>AE18*20%</f>
        <v>#REF!</v>
      </c>
      <c r="AF16" s="20" t="e">
        <f>AE14-AE16</f>
        <v>#REF!</v>
      </c>
    </row>
    <row r="17" spans="1:32" ht="8.25" customHeight="1" thickBot="1"/>
    <row r="18" spans="1:32" ht="21.75" thickBot="1">
      <c r="A18" s="44" t="s">
        <v>445</v>
      </c>
      <c r="B18" s="45" t="e">
        <f>SUM(B19:B27)</f>
        <v>#REF!</v>
      </c>
      <c r="C18" s="65" t="e">
        <f>B18/B$10</f>
        <v>#REF!</v>
      </c>
      <c r="D18" s="45" t="e">
        <f>SUM(D19:D27)</f>
        <v>#REF!</v>
      </c>
      <c r="E18" s="65" t="e">
        <f>D18/D$10</f>
        <v>#REF!</v>
      </c>
      <c r="F18" s="45" t="e">
        <f>SUM(F19:F27)</f>
        <v>#REF!</v>
      </c>
      <c r="G18" s="65" t="e">
        <f>F18/F$10</f>
        <v>#REF!</v>
      </c>
      <c r="H18" s="45" t="e">
        <f>SUM(H19:H27)</f>
        <v>#REF!</v>
      </c>
      <c r="I18" s="65" t="e">
        <f>H18/H$10</f>
        <v>#REF!</v>
      </c>
      <c r="J18" s="45" t="e">
        <f>SUM(J19:J27)</f>
        <v>#REF!</v>
      </c>
      <c r="K18" s="65" t="e">
        <f>J18/J$10</f>
        <v>#REF!</v>
      </c>
      <c r="L18" s="45" t="e">
        <f>SUM(L19:L27)</f>
        <v>#REF!</v>
      </c>
      <c r="M18" s="65" t="e">
        <f>L18/L$10</f>
        <v>#REF!</v>
      </c>
      <c r="N18" s="45" t="e">
        <f>SUM(N19:N27)</f>
        <v>#REF!</v>
      </c>
      <c r="O18" s="65" t="e">
        <f>N18/N$10</f>
        <v>#REF!</v>
      </c>
      <c r="P18" s="45" t="e">
        <f>SUM(P19:P27)</f>
        <v>#REF!</v>
      </c>
      <c r="Q18" s="65" t="e">
        <f>P18/P$10</f>
        <v>#REF!</v>
      </c>
      <c r="R18" s="45" t="e">
        <f>SUM(R19:R27)</f>
        <v>#REF!</v>
      </c>
      <c r="S18" s="65" t="e">
        <f>R18/R$10</f>
        <v>#REF!</v>
      </c>
      <c r="T18" s="45" t="e">
        <f>SUM(T19:T27)</f>
        <v>#REF!</v>
      </c>
      <c r="U18" s="65" t="e">
        <f>T18/T$10</f>
        <v>#REF!</v>
      </c>
      <c r="V18" s="45" t="e">
        <f>SUM(V19:V27)</f>
        <v>#REF!</v>
      </c>
      <c r="W18" s="65" t="e">
        <f>V18/V$10</f>
        <v>#REF!</v>
      </c>
      <c r="X18" s="45" t="e">
        <f>SUM(X19:X27)</f>
        <v>#REF!</v>
      </c>
      <c r="Y18" s="65" t="e">
        <f>X18/X$10</f>
        <v>#REF!</v>
      </c>
      <c r="Z18" s="45" t="e">
        <f>SUM(Z19:Z27)</f>
        <v>#REF!</v>
      </c>
      <c r="AA18" s="65" t="e">
        <f>Z18/Z$10</f>
        <v>#REF!</v>
      </c>
      <c r="AE18" s="20" t="e">
        <f>Z14/365*30</f>
        <v>#REF!</v>
      </c>
      <c r="AF18" s="20"/>
    </row>
    <row r="19" spans="1:32" ht="15.75" outlineLevel="1">
      <c r="A19" s="47" t="s">
        <v>148</v>
      </c>
      <c r="B19" s="48" t="e">
        <f>VLOOKUP($A19,#REF!,2,0)</f>
        <v>#REF!</v>
      </c>
      <c r="C19" s="49"/>
      <c r="D19" s="48" t="e">
        <f>VLOOKUP($A19,#REF!,3,0)</f>
        <v>#REF!</v>
      </c>
      <c r="E19" s="49"/>
      <c r="F19" s="48" t="e">
        <f>VLOOKUP($A19,#REF!,4,0)</f>
        <v>#REF!</v>
      </c>
      <c r="G19" s="49"/>
      <c r="H19" s="48" t="e">
        <f>VLOOKUP($A19,#REF!,5,0)</f>
        <v>#REF!</v>
      </c>
      <c r="I19" s="49"/>
      <c r="J19" s="48" t="e">
        <f>VLOOKUP($A19,#REF!,6,0)</f>
        <v>#REF!</v>
      </c>
      <c r="K19" s="49"/>
      <c r="L19" s="48" t="e">
        <f>VLOOKUP($A19,#REF!,7,0)</f>
        <v>#REF!</v>
      </c>
      <c r="M19" s="49"/>
      <c r="N19" s="48" t="e">
        <f>VLOOKUP($A19,#REF!,8,0)</f>
        <v>#REF!</v>
      </c>
      <c r="O19" s="49"/>
      <c r="P19" s="48" t="e">
        <f>VLOOKUP($A19,#REF!,9,0)</f>
        <v>#REF!</v>
      </c>
      <c r="Q19" s="49"/>
      <c r="R19" s="48" t="e">
        <f>VLOOKUP($A19,#REF!,10,0)</f>
        <v>#REF!</v>
      </c>
      <c r="S19" s="49"/>
      <c r="T19" s="48" t="e">
        <f>VLOOKUP($A19,#REF!,11,0)</f>
        <v>#REF!</v>
      </c>
      <c r="U19" s="49"/>
      <c r="V19" s="48" t="e">
        <f>VLOOKUP($A19,#REF!,12,0)</f>
        <v>#REF!</v>
      </c>
      <c r="W19" s="49"/>
      <c r="X19" s="48" t="e">
        <f>VLOOKUP($A19,#REF!,13,0)</f>
        <v>#REF!</v>
      </c>
      <c r="Y19" s="49"/>
      <c r="Z19" s="48" t="e">
        <f>VLOOKUP($A19,#REF!,14,0)</f>
        <v>#REF!</v>
      </c>
      <c r="AA19" s="49"/>
    </row>
    <row r="20" spans="1:32" ht="15.75" outlineLevel="1">
      <c r="A20" s="47" t="s">
        <v>149</v>
      </c>
      <c r="B20" s="48" t="e">
        <f>VLOOKUP($A20,#REF!,2,0)</f>
        <v>#REF!</v>
      </c>
      <c r="C20" s="49"/>
      <c r="D20" s="48" t="e">
        <f>VLOOKUP($A20,#REF!,3,0)</f>
        <v>#REF!</v>
      </c>
      <c r="E20" s="49"/>
      <c r="F20" s="48" t="e">
        <f>VLOOKUP($A20,#REF!,4,0)</f>
        <v>#REF!</v>
      </c>
      <c r="G20" s="49"/>
      <c r="H20" s="48" t="e">
        <f>VLOOKUP($A20,#REF!,5,0)</f>
        <v>#REF!</v>
      </c>
      <c r="I20" s="49"/>
      <c r="J20" s="48" t="e">
        <f>VLOOKUP($A20,#REF!,6,0)</f>
        <v>#REF!</v>
      </c>
      <c r="K20" s="49"/>
      <c r="L20" s="48" t="e">
        <f>VLOOKUP($A20,#REF!,7,0)</f>
        <v>#REF!</v>
      </c>
      <c r="M20" s="49"/>
      <c r="N20" s="48" t="e">
        <f>VLOOKUP($A20,#REF!,8,0)</f>
        <v>#REF!</v>
      </c>
      <c r="O20" s="49"/>
      <c r="P20" s="48" t="e">
        <f>VLOOKUP($A20,#REF!,9,0)</f>
        <v>#REF!</v>
      </c>
      <c r="Q20" s="49"/>
      <c r="R20" s="48" t="e">
        <f>VLOOKUP($A20,#REF!,10,0)</f>
        <v>#REF!</v>
      </c>
      <c r="S20" s="49"/>
      <c r="T20" s="48" t="e">
        <f>VLOOKUP($A20,#REF!,11,0)</f>
        <v>#REF!</v>
      </c>
      <c r="U20" s="49"/>
      <c r="V20" s="48" t="e">
        <f>VLOOKUP($A20,#REF!,12,0)</f>
        <v>#REF!</v>
      </c>
      <c r="W20" s="49"/>
      <c r="X20" s="48" t="e">
        <f>VLOOKUP($A20,#REF!,13,0)</f>
        <v>#REF!</v>
      </c>
      <c r="Y20" s="49"/>
      <c r="Z20" s="48" t="e">
        <f>VLOOKUP($A20,#REF!,14,0)</f>
        <v>#REF!</v>
      </c>
      <c r="AA20" s="49"/>
    </row>
    <row r="21" spans="1:32" ht="15.75" outlineLevel="1">
      <c r="A21" s="47" t="s">
        <v>25</v>
      </c>
      <c r="B21" s="48" t="e">
        <f>VLOOKUP($A21,#REF!,2,0)</f>
        <v>#REF!</v>
      </c>
      <c r="C21" s="49"/>
      <c r="D21" s="48" t="e">
        <f>VLOOKUP($A21,#REF!,3,0)</f>
        <v>#REF!</v>
      </c>
      <c r="E21" s="49"/>
      <c r="F21" s="48" t="e">
        <f>VLOOKUP($A21,#REF!,4,0)</f>
        <v>#REF!</v>
      </c>
      <c r="G21" s="49"/>
      <c r="H21" s="48" t="e">
        <f>VLOOKUP($A21,#REF!,5,0)</f>
        <v>#REF!</v>
      </c>
      <c r="I21" s="49"/>
      <c r="J21" s="48" t="e">
        <f>VLOOKUP($A21,#REF!,6,0)</f>
        <v>#REF!</v>
      </c>
      <c r="K21" s="49"/>
      <c r="L21" s="48" t="e">
        <f>VLOOKUP($A21,#REF!,7,0)</f>
        <v>#REF!</v>
      </c>
      <c r="M21" s="49"/>
      <c r="N21" s="48" t="e">
        <f>VLOOKUP($A21,#REF!,8,0)</f>
        <v>#REF!</v>
      </c>
      <c r="O21" s="49"/>
      <c r="P21" s="48" t="e">
        <f>VLOOKUP($A21,#REF!,9,0)</f>
        <v>#REF!</v>
      </c>
      <c r="Q21" s="49"/>
      <c r="R21" s="48" t="e">
        <f>VLOOKUP($A21,#REF!,10,0)</f>
        <v>#REF!</v>
      </c>
      <c r="S21" s="49"/>
      <c r="T21" s="48" t="e">
        <f>VLOOKUP($A21,#REF!,11,0)</f>
        <v>#REF!</v>
      </c>
      <c r="U21" s="49"/>
      <c r="V21" s="48" t="e">
        <f>VLOOKUP($A21,#REF!,12,0)</f>
        <v>#REF!</v>
      </c>
      <c r="W21" s="49"/>
      <c r="X21" s="48" t="e">
        <f>VLOOKUP($A21,#REF!,13,0)</f>
        <v>#REF!</v>
      </c>
      <c r="Y21" s="49"/>
      <c r="Z21" s="48" t="e">
        <f>VLOOKUP($A21,#REF!,14,0)</f>
        <v>#REF!</v>
      </c>
      <c r="AA21" s="49"/>
    </row>
    <row r="22" spans="1:32" ht="15.75" outlineLevel="1">
      <c r="A22" s="47" t="s">
        <v>37</v>
      </c>
      <c r="B22" s="48" t="e">
        <f>VLOOKUP($A22,#REF!,2,0)</f>
        <v>#REF!</v>
      </c>
      <c r="C22" s="50"/>
      <c r="D22" s="48" t="e">
        <f>VLOOKUP($A22,#REF!,3,0)</f>
        <v>#REF!</v>
      </c>
      <c r="E22" s="50"/>
      <c r="F22" s="48" t="e">
        <f>VLOOKUP($A22,#REF!,4,0)</f>
        <v>#REF!</v>
      </c>
      <c r="G22" s="50"/>
      <c r="H22" s="48" t="e">
        <f>VLOOKUP($A22,#REF!,5,0)</f>
        <v>#REF!</v>
      </c>
      <c r="I22" s="50"/>
      <c r="J22" s="48" t="e">
        <f>VLOOKUP($A22,#REF!,6,0)</f>
        <v>#REF!</v>
      </c>
      <c r="K22" s="50"/>
      <c r="L22" s="48" t="e">
        <f>VLOOKUP($A22,#REF!,7,0)</f>
        <v>#REF!</v>
      </c>
      <c r="M22" s="50"/>
      <c r="N22" s="48" t="e">
        <f>VLOOKUP($A22,#REF!,8,0)</f>
        <v>#REF!</v>
      </c>
      <c r="O22" s="50"/>
      <c r="P22" s="48" t="e">
        <f>VLOOKUP($A22,#REF!,9,0)</f>
        <v>#REF!</v>
      </c>
      <c r="Q22" s="50"/>
      <c r="R22" s="48" t="e">
        <f>VLOOKUP($A22,#REF!,10,0)</f>
        <v>#REF!</v>
      </c>
      <c r="S22" s="50"/>
      <c r="T22" s="48" t="e">
        <f>VLOOKUP($A22,#REF!,11,0)</f>
        <v>#REF!</v>
      </c>
      <c r="U22" s="50"/>
      <c r="V22" s="48" t="e">
        <f>VLOOKUP($A22,#REF!,12,0)</f>
        <v>#REF!</v>
      </c>
      <c r="W22" s="50"/>
      <c r="X22" s="48" t="e">
        <f>VLOOKUP($A22,#REF!,13,0)</f>
        <v>#REF!</v>
      </c>
      <c r="Y22" s="50"/>
      <c r="Z22" s="48" t="e">
        <f>VLOOKUP($A22,#REF!,14,0)</f>
        <v>#REF!</v>
      </c>
      <c r="AA22" s="50"/>
    </row>
    <row r="23" spans="1:32" ht="15.75" outlineLevel="1">
      <c r="A23" s="47" t="s">
        <v>27</v>
      </c>
      <c r="B23" s="48" t="e">
        <f>VLOOKUP($A23,#REF!,2,0)</f>
        <v>#REF!</v>
      </c>
      <c r="C23" s="50"/>
      <c r="D23" s="48" t="e">
        <f>VLOOKUP($A23,#REF!,3,0)</f>
        <v>#REF!</v>
      </c>
      <c r="E23" s="50"/>
      <c r="F23" s="48" t="e">
        <f>VLOOKUP($A23,#REF!,4,0)</f>
        <v>#REF!</v>
      </c>
      <c r="G23" s="50"/>
      <c r="H23" s="48" t="e">
        <f>VLOOKUP($A23,#REF!,5,0)</f>
        <v>#REF!</v>
      </c>
      <c r="I23" s="50"/>
      <c r="J23" s="48" t="e">
        <f>VLOOKUP($A23,#REF!,6,0)</f>
        <v>#REF!</v>
      </c>
      <c r="K23" s="50"/>
      <c r="L23" s="48" t="e">
        <f>VLOOKUP($A23,#REF!,7,0)</f>
        <v>#REF!</v>
      </c>
      <c r="M23" s="50"/>
      <c r="N23" s="48" t="e">
        <f>VLOOKUP($A23,#REF!,8,0)</f>
        <v>#REF!</v>
      </c>
      <c r="O23" s="50"/>
      <c r="P23" s="48" t="e">
        <f>VLOOKUP($A23,#REF!,9,0)</f>
        <v>#REF!</v>
      </c>
      <c r="Q23" s="50"/>
      <c r="R23" s="48" t="e">
        <f>VLOOKUP($A23,#REF!,10,0)</f>
        <v>#REF!</v>
      </c>
      <c r="S23" s="50"/>
      <c r="T23" s="48" t="e">
        <f>VLOOKUP($A23,#REF!,11,0)</f>
        <v>#REF!</v>
      </c>
      <c r="U23" s="50"/>
      <c r="V23" s="48" t="e">
        <f>VLOOKUP($A23,#REF!,12,0)</f>
        <v>#REF!</v>
      </c>
      <c r="W23" s="50"/>
      <c r="X23" s="48" t="e">
        <f>VLOOKUP($A23,#REF!,13,0)</f>
        <v>#REF!</v>
      </c>
      <c r="Y23" s="50"/>
      <c r="Z23" s="48" t="e">
        <f>VLOOKUP($A23,#REF!,14,0)</f>
        <v>#REF!</v>
      </c>
      <c r="AA23" s="50"/>
    </row>
    <row r="24" spans="1:32" ht="15.75" outlineLevel="1">
      <c r="A24" s="47" t="s">
        <v>18</v>
      </c>
      <c r="B24" s="48" t="e">
        <f>VLOOKUP($A24,#REF!,2,0)</f>
        <v>#REF!</v>
      </c>
      <c r="C24" s="49"/>
      <c r="D24" s="48" t="e">
        <f>VLOOKUP($A24,#REF!,3,0)</f>
        <v>#REF!</v>
      </c>
      <c r="E24" s="49"/>
      <c r="F24" s="48" t="e">
        <f>VLOOKUP($A24,#REF!,4,0)</f>
        <v>#REF!</v>
      </c>
      <c r="G24" s="49"/>
      <c r="H24" s="48" t="e">
        <f>VLOOKUP($A24,#REF!,5,0)</f>
        <v>#REF!</v>
      </c>
      <c r="I24" s="49"/>
      <c r="J24" s="48" t="e">
        <f>VLOOKUP($A24,#REF!,6,0)</f>
        <v>#REF!</v>
      </c>
      <c r="K24" s="49"/>
      <c r="L24" s="48" t="e">
        <f>VLOOKUP($A24,#REF!,7,0)</f>
        <v>#REF!</v>
      </c>
      <c r="M24" s="49"/>
      <c r="N24" s="48" t="e">
        <f>VLOOKUP($A24,#REF!,8,0)</f>
        <v>#REF!</v>
      </c>
      <c r="O24" s="49"/>
      <c r="P24" s="48" t="e">
        <f>VLOOKUP($A24,#REF!,9,0)</f>
        <v>#REF!</v>
      </c>
      <c r="Q24" s="49"/>
      <c r="R24" s="48" t="e">
        <f>VLOOKUP($A24,#REF!,10,0)</f>
        <v>#REF!</v>
      </c>
      <c r="S24" s="49"/>
      <c r="T24" s="48" t="e">
        <f>VLOOKUP($A24,#REF!,11,0)</f>
        <v>#REF!</v>
      </c>
      <c r="U24" s="49"/>
      <c r="V24" s="48" t="e">
        <f>VLOOKUP($A24,#REF!,12,0)</f>
        <v>#REF!</v>
      </c>
      <c r="W24" s="49"/>
      <c r="X24" s="48" t="e">
        <f>VLOOKUP($A24,#REF!,13,0)</f>
        <v>#REF!</v>
      </c>
      <c r="Y24" s="49"/>
      <c r="Z24" s="48" t="e">
        <f>VLOOKUP($A24,#REF!,14,0)</f>
        <v>#REF!</v>
      </c>
      <c r="AA24" s="49"/>
    </row>
    <row r="25" spans="1:32" ht="15.75" outlineLevel="1">
      <c r="A25" s="47" t="s">
        <v>138</v>
      </c>
      <c r="B25" s="48" t="e">
        <f>VLOOKUP($A25,#REF!,2,0)</f>
        <v>#REF!</v>
      </c>
      <c r="C25" s="49"/>
      <c r="D25" s="48" t="e">
        <f>VLOOKUP($A25,#REF!,3,0)</f>
        <v>#REF!</v>
      </c>
      <c r="E25" s="49"/>
      <c r="F25" s="48" t="e">
        <f>VLOOKUP($A25,#REF!,4,0)</f>
        <v>#REF!</v>
      </c>
      <c r="G25" s="49"/>
      <c r="H25" s="48" t="e">
        <f>VLOOKUP($A25,#REF!,5,0)</f>
        <v>#REF!</v>
      </c>
      <c r="I25" s="49"/>
      <c r="J25" s="48" t="e">
        <f>VLOOKUP($A25,#REF!,6,0)</f>
        <v>#REF!</v>
      </c>
      <c r="K25" s="49"/>
      <c r="L25" s="48" t="e">
        <f>VLOOKUP($A25,#REF!,7,0)</f>
        <v>#REF!</v>
      </c>
      <c r="M25" s="49"/>
      <c r="N25" s="48" t="e">
        <f>VLOOKUP($A25,#REF!,8,0)</f>
        <v>#REF!</v>
      </c>
      <c r="O25" s="49"/>
      <c r="P25" s="48" t="e">
        <f>VLOOKUP($A25,#REF!,9,0)</f>
        <v>#REF!</v>
      </c>
      <c r="Q25" s="49"/>
      <c r="R25" s="48" t="e">
        <f>VLOOKUP($A25,#REF!,10,0)</f>
        <v>#REF!</v>
      </c>
      <c r="S25" s="49"/>
      <c r="T25" s="48" t="e">
        <f>VLOOKUP($A25,#REF!,11,0)</f>
        <v>#REF!</v>
      </c>
      <c r="U25" s="49"/>
      <c r="V25" s="48" t="e">
        <f>VLOOKUP($A25,#REF!,12,0)</f>
        <v>#REF!</v>
      </c>
      <c r="W25" s="49"/>
      <c r="X25" s="48" t="e">
        <f>VLOOKUP($A25,#REF!,13,0)</f>
        <v>#REF!</v>
      </c>
      <c r="Y25" s="49"/>
      <c r="Z25" s="48" t="e">
        <f>VLOOKUP($A25,#REF!,14,0)</f>
        <v>#REF!</v>
      </c>
      <c r="AA25" s="49"/>
    </row>
    <row r="26" spans="1:32" ht="15.75" outlineLevel="1">
      <c r="A26" s="47" t="s">
        <v>29</v>
      </c>
      <c r="B26" s="48" t="e">
        <f>VLOOKUP($A26,#REF!,2,0)</f>
        <v>#REF!</v>
      </c>
      <c r="C26" s="49"/>
      <c r="D26" s="48" t="e">
        <f>VLOOKUP($A26,#REF!,3,0)</f>
        <v>#REF!</v>
      </c>
      <c r="E26" s="49"/>
      <c r="F26" s="48" t="e">
        <f>VLOOKUP($A26,#REF!,4,0)</f>
        <v>#REF!</v>
      </c>
      <c r="G26" s="49"/>
      <c r="H26" s="48" t="e">
        <f>VLOOKUP($A26,#REF!,5,0)</f>
        <v>#REF!</v>
      </c>
      <c r="I26" s="49"/>
      <c r="J26" s="48" t="e">
        <f>VLOOKUP($A26,#REF!,6,0)</f>
        <v>#REF!</v>
      </c>
      <c r="K26" s="49"/>
      <c r="L26" s="48" t="e">
        <f>VLOOKUP($A26,#REF!,7,0)</f>
        <v>#REF!</v>
      </c>
      <c r="M26" s="49"/>
      <c r="N26" s="48" t="e">
        <f>VLOOKUP($A26,#REF!,8,0)</f>
        <v>#REF!</v>
      </c>
      <c r="O26" s="49"/>
      <c r="P26" s="48" t="e">
        <f>VLOOKUP($A26,#REF!,9,0)</f>
        <v>#REF!</v>
      </c>
      <c r="Q26" s="49"/>
      <c r="R26" s="48" t="e">
        <f>VLOOKUP($A26,#REF!,10,0)</f>
        <v>#REF!</v>
      </c>
      <c r="S26" s="49"/>
      <c r="T26" s="48" t="e">
        <f>VLOOKUP($A26,#REF!,11,0)</f>
        <v>#REF!</v>
      </c>
      <c r="U26" s="49"/>
      <c r="V26" s="48" t="e">
        <f>VLOOKUP($A26,#REF!,12,0)</f>
        <v>#REF!</v>
      </c>
      <c r="W26" s="49"/>
      <c r="X26" s="48" t="e">
        <f>VLOOKUP($A26,#REF!,13,0)</f>
        <v>#REF!</v>
      </c>
      <c r="Y26" s="49"/>
      <c r="Z26" s="48" t="e">
        <f>VLOOKUP($A26,#REF!,14,0)</f>
        <v>#REF!</v>
      </c>
      <c r="AA26" s="49"/>
    </row>
    <row r="27" spans="1:32" ht="15.75" outlineLevel="1">
      <c r="A27" s="47" t="s">
        <v>12</v>
      </c>
      <c r="B27" s="48" t="e">
        <f>VLOOKUP($A27,#REF!,2,0)</f>
        <v>#REF!</v>
      </c>
      <c r="C27" s="49"/>
      <c r="D27" s="48" t="e">
        <f>VLOOKUP($A27,#REF!,3,0)</f>
        <v>#REF!</v>
      </c>
      <c r="E27" s="49"/>
      <c r="F27" s="48" t="e">
        <f>VLOOKUP($A27,#REF!,4,0)</f>
        <v>#REF!</v>
      </c>
      <c r="G27" s="49"/>
      <c r="H27" s="48" t="e">
        <f>VLOOKUP($A27,#REF!,5,0)</f>
        <v>#REF!</v>
      </c>
      <c r="I27" s="49"/>
      <c r="J27" s="48" t="e">
        <f>VLOOKUP($A27,#REF!,6,0)</f>
        <v>#REF!</v>
      </c>
      <c r="K27" s="49"/>
      <c r="L27" s="48" t="e">
        <f>VLOOKUP($A27,#REF!,7,0)</f>
        <v>#REF!</v>
      </c>
      <c r="M27" s="49"/>
      <c r="N27" s="48" t="e">
        <f>VLOOKUP($A27,#REF!,8,0)</f>
        <v>#REF!</v>
      </c>
      <c r="O27" s="49"/>
      <c r="P27" s="48" t="e">
        <f>VLOOKUP($A27,#REF!,9,0)</f>
        <v>#REF!</v>
      </c>
      <c r="Q27" s="49"/>
      <c r="R27" s="48" t="e">
        <f>VLOOKUP($A27,#REF!,10,0)</f>
        <v>#REF!</v>
      </c>
      <c r="S27" s="49"/>
      <c r="T27" s="48" t="e">
        <f>VLOOKUP($A27,#REF!,11,0)</f>
        <v>#REF!</v>
      </c>
      <c r="U27" s="49"/>
      <c r="V27" s="48" t="e">
        <f>VLOOKUP($A27,#REF!,12,0)</f>
        <v>#REF!</v>
      </c>
      <c r="W27" s="49"/>
      <c r="X27" s="48" t="e">
        <f>VLOOKUP($A27,#REF!,13,0)</f>
        <v>#REF!</v>
      </c>
      <c r="Y27" s="49"/>
      <c r="Z27" s="48" t="e">
        <f>VLOOKUP($A27,#REF!,14,0)</f>
        <v>#REF!</v>
      </c>
      <c r="AA27" s="49"/>
    </row>
    <row r="28" spans="1:32" ht="8.25" customHeight="1" thickBot="1"/>
    <row r="29" spans="1:32" ht="21.75" thickBot="1">
      <c r="A29" s="44" t="s">
        <v>440</v>
      </c>
      <c r="B29" s="45" t="e">
        <f>SUM(B30:B44)</f>
        <v>#REF!</v>
      </c>
      <c r="C29" s="46" t="e">
        <f>B29/B$10</f>
        <v>#REF!</v>
      </c>
      <c r="D29" s="45" t="e">
        <f>SUM(D30:D44)</f>
        <v>#REF!</v>
      </c>
      <c r="E29" s="46" t="e">
        <f>D29/D$10</f>
        <v>#REF!</v>
      </c>
      <c r="F29" s="45" t="e">
        <f>SUM(F30:F44)</f>
        <v>#REF!</v>
      </c>
      <c r="G29" s="46" t="e">
        <f>F29/F$10</f>
        <v>#REF!</v>
      </c>
      <c r="H29" s="45" t="e">
        <f>SUM(H30:H44)</f>
        <v>#REF!</v>
      </c>
      <c r="I29" s="46" t="e">
        <f>H29/H$10</f>
        <v>#REF!</v>
      </c>
      <c r="J29" s="45" t="e">
        <f>SUM(J30:J44)</f>
        <v>#REF!</v>
      </c>
      <c r="K29" s="46" t="e">
        <f>J29/J$10</f>
        <v>#REF!</v>
      </c>
      <c r="L29" s="45" t="e">
        <f>SUM(L30:L44)</f>
        <v>#REF!</v>
      </c>
      <c r="M29" s="46" t="e">
        <f>L29/L$10</f>
        <v>#REF!</v>
      </c>
      <c r="N29" s="45" t="e">
        <f>SUM(N30:N44)</f>
        <v>#REF!</v>
      </c>
      <c r="O29" s="46" t="e">
        <f>N29/N$10</f>
        <v>#REF!</v>
      </c>
      <c r="P29" s="45" t="e">
        <f>SUM(P30:P44)</f>
        <v>#REF!</v>
      </c>
      <c r="Q29" s="46" t="e">
        <f>P29/P$10</f>
        <v>#REF!</v>
      </c>
      <c r="R29" s="45" t="e">
        <f>SUM(R30:R44)</f>
        <v>#REF!</v>
      </c>
      <c r="S29" s="46" t="e">
        <f>R29/R$10</f>
        <v>#REF!</v>
      </c>
      <c r="T29" s="45" t="e">
        <f>SUM(T30:T44)</f>
        <v>#REF!</v>
      </c>
      <c r="U29" s="46" t="e">
        <f>T29/T$10</f>
        <v>#REF!</v>
      </c>
      <c r="V29" s="45" t="e">
        <f>SUM(V30:V44)</f>
        <v>#REF!</v>
      </c>
      <c r="W29" s="46" t="e">
        <f>V29/V$10</f>
        <v>#REF!</v>
      </c>
      <c r="X29" s="45" t="e">
        <f>SUM(X30:X44)</f>
        <v>#REF!</v>
      </c>
      <c r="Y29" s="46" t="e">
        <f>X29/X$10</f>
        <v>#REF!</v>
      </c>
      <c r="Z29" s="45" t="e">
        <f>SUM(Z30:Z44)</f>
        <v>#REF!</v>
      </c>
      <c r="AA29" s="46" t="e">
        <f>Z29/Z$10</f>
        <v>#REF!</v>
      </c>
    </row>
    <row r="30" spans="1:32" ht="15.75" outlineLevel="1">
      <c r="A30" s="47" t="s">
        <v>148</v>
      </c>
      <c r="B30" s="48" t="e">
        <f>VLOOKUP($A30,#REF!,2,0)</f>
        <v>#REF!</v>
      </c>
      <c r="C30" s="49"/>
      <c r="D30" s="48" t="e">
        <f>VLOOKUP($A30,#REF!,3,0)</f>
        <v>#REF!</v>
      </c>
      <c r="E30" s="49"/>
      <c r="F30" s="48" t="e">
        <f>VLOOKUP($A30,#REF!,4,0)</f>
        <v>#REF!</v>
      </c>
      <c r="G30" s="49"/>
      <c r="H30" s="48" t="e">
        <f>VLOOKUP($A30,#REF!,5,0)</f>
        <v>#REF!</v>
      </c>
      <c r="I30" s="49"/>
      <c r="J30" s="48" t="e">
        <f>VLOOKUP($A30,#REF!,6,0)</f>
        <v>#REF!</v>
      </c>
      <c r="K30" s="49"/>
      <c r="L30" s="48" t="e">
        <f>VLOOKUP($A30,#REF!,7,0)</f>
        <v>#REF!</v>
      </c>
      <c r="M30" s="49"/>
      <c r="N30" s="48" t="e">
        <f>VLOOKUP($A30,#REF!,8,0)</f>
        <v>#REF!</v>
      </c>
      <c r="O30" s="49"/>
      <c r="P30" s="48" t="e">
        <f>VLOOKUP($A30,#REF!,9,0)</f>
        <v>#REF!</v>
      </c>
      <c r="Q30" s="49"/>
      <c r="R30" s="48" t="e">
        <f>VLOOKUP($A30,#REF!,10,0)</f>
        <v>#REF!</v>
      </c>
      <c r="S30" s="49"/>
      <c r="T30" s="48" t="e">
        <f>VLOOKUP($A30,#REF!,11,0)</f>
        <v>#REF!</v>
      </c>
      <c r="U30" s="49"/>
      <c r="V30" s="48" t="e">
        <f>VLOOKUP($A30,#REF!,12,0)</f>
        <v>#REF!</v>
      </c>
      <c r="W30" s="49"/>
      <c r="X30" s="48" t="e">
        <f>VLOOKUP($A30,#REF!,13,0)</f>
        <v>#REF!</v>
      </c>
      <c r="Y30" s="49"/>
      <c r="Z30" s="48" t="e">
        <f>VLOOKUP($A30,#REF!,14,0)</f>
        <v>#REF!</v>
      </c>
      <c r="AA30" s="49"/>
    </row>
    <row r="31" spans="1:32" ht="15.75" outlineLevel="1">
      <c r="A31" s="47" t="s">
        <v>149</v>
      </c>
      <c r="B31" s="48" t="e">
        <f>VLOOKUP($A31,#REF!,2,0)</f>
        <v>#REF!</v>
      </c>
      <c r="C31" s="49"/>
      <c r="D31" s="48" t="e">
        <f>VLOOKUP($A31,#REF!,3,0)</f>
        <v>#REF!</v>
      </c>
      <c r="E31" s="49"/>
      <c r="F31" s="48" t="e">
        <f>VLOOKUP($A31,#REF!,4,0)</f>
        <v>#REF!</v>
      </c>
      <c r="G31" s="49"/>
      <c r="H31" s="48" t="e">
        <f>VLOOKUP($A31,#REF!,5,0)</f>
        <v>#REF!</v>
      </c>
      <c r="I31" s="49"/>
      <c r="J31" s="48" t="e">
        <f>VLOOKUP($A31,#REF!,6,0)</f>
        <v>#REF!</v>
      </c>
      <c r="K31" s="49"/>
      <c r="L31" s="48" t="e">
        <f>VLOOKUP($A31,#REF!,7,0)</f>
        <v>#REF!</v>
      </c>
      <c r="M31" s="49"/>
      <c r="N31" s="48" t="e">
        <f>VLOOKUP($A31,#REF!,8,0)</f>
        <v>#REF!</v>
      </c>
      <c r="O31" s="49"/>
      <c r="P31" s="48" t="e">
        <f>VLOOKUP($A31,#REF!,9,0)</f>
        <v>#REF!</v>
      </c>
      <c r="Q31" s="49"/>
      <c r="R31" s="48" t="e">
        <f>VLOOKUP($A31,#REF!,10,0)</f>
        <v>#REF!</v>
      </c>
      <c r="S31" s="49"/>
      <c r="T31" s="48" t="e">
        <f>VLOOKUP($A31,#REF!,11,0)</f>
        <v>#REF!</v>
      </c>
      <c r="U31" s="49"/>
      <c r="V31" s="48" t="e">
        <f>VLOOKUP($A31,#REF!,12,0)</f>
        <v>#REF!</v>
      </c>
      <c r="W31" s="49"/>
      <c r="X31" s="48" t="e">
        <f>VLOOKUP($A31,#REF!,13,0)</f>
        <v>#REF!</v>
      </c>
      <c r="Y31" s="49"/>
      <c r="Z31" s="48" t="e">
        <f>VLOOKUP($A31,#REF!,14,0)</f>
        <v>#REF!</v>
      </c>
      <c r="AA31" s="49"/>
    </row>
    <row r="32" spans="1:32" s="66" customFormat="1" ht="15.75" outlineLevel="1">
      <c r="A32" s="47" t="s">
        <v>20</v>
      </c>
      <c r="B32" s="48" t="e">
        <f>VLOOKUP($A32,#REF!,2,0)</f>
        <v>#REF!</v>
      </c>
      <c r="C32" s="50"/>
      <c r="D32" s="48" t="e">
        <f>VLOOKUP($A32,#REF!,3,0)</f>
        <v>#REF!</v>
      </c>
      <c r="E32" s="50"/>
      <c r="F32" s="48" t="e">
        <f>VLOOKUP($A32,#REF!,4,0)</f>
        <v>#REF!</v>
      </c>
      <c r="G32" s="50"/>
      <c r="H32" s="48" t="e">
        <f>VLOOKUP($A32,#REF!,5,0)</f>
        <v>#REF!</v>
      </c>
      <c r="I32" s="50"/>
      <c r="J32" s="48" t="e">
        <f>VLOOKUP($A32,#REF!,6,0)</f>
        <v>#REF!</v>
      </c>
      <c r="K32" s="50"/>
      <c r="L32" s="48" t="e">
        <f>VLOOKUP($A32,#REF!,7,0)</f>
        <v>#REF!</v>
      </c>
      <c r="M32" s="50"/>
      <c r="N32" s="48" t="e">
        <f>VLOOKUP($A32,#REF!,8,0)</f>
        <v>#REF!</v>
      </c>
      <c r="O32" s="50"/>
      <c r="P32" s="48" t="e">
        <f>VLOOKUP($A32,#REF!,9,0)</f>
        <v>#REF!</v>
      </c>
      <c r="Q32" s="50"/>
      <c r="R32" s="48" t="e">
        <f>VLOOKUP($A32,#REF!,10,0)</f>
        <v>#REF!</v>
      </c>
      <c r="S32" s="50"/>
      <c r="T32" s="48" t="e">
        <f>VLOOKUP($A32,#REF!,11,0)</f>
        <v>#REF!</v>
      </c>
      <c r="U32" s="50"/>
      <c r="V32" s="48" t="e">
        <f>VLOOKUP($A32,#REF!,12,0)</f>
        <v>#REF!</v>
      </c>
      <c r="W32" s="50"/>
      <c r="X32" s="48" t="e">
        <f>VLOOKUP($A32,#REF!,13,0)</f>
        <v>#REF!</v>
      </c>
      <c r="Y32" s="50"/>
      <c r="Z32" s="48" t="e">
        <f>VLOOKUP($A32,#REF!,14,0)</f>
        <v>#REF!</v>
      </c>
      <c r="AA32" s="50"/>
    </row>
    <row r="33" spans="1:29" s="66" customFormat="1" ht="15.75" outlineLevel="1">
      <c r="A33" s="47" t="s">
        <v>89</v>
      </c>
      <c r="B33" s="48" t="e">
        <f>VLOOKUP($A33,#REF!,2,0)</f>
        <v>#REF!</v>
      </c>
      <c r="C33" s="50"/>
      <c r="D33" s="48" t="e">
        <f>VLOOKUP($A33,#REF!,3,0)</f>
        <v>#REF!</v>
      </c>
      <c r="E33" s="50"/>
      <c r="F33" s="48" t="e">
        <f>VLOOKUP($A33,#REF!,4,0)</f>
        <v>#REF!</v>
      </c>
      <c r="G33" s="50"/>
      <c r="H33" s="48" t="e">
        <f>VLOOKUP($A33,#REF!,5,0)</f>
        <v>#REF!</v>
      </c>
      <c r="I33" s="50"/>
      <c r="J33" s="48" t="e">
        <f>VLOOKUP($A33,#REF!,6,0)</f>
        <v>#REF!</v>
      </c>
      <c r="K33" s="50"/>
      <c r="L33" s="48" t="e">
        <f>VLOOKUP($A33,#REF!,7,0)</f>
        <v>#REF!</v>
      </c>
      <c r="M33" s="50"/>
      <c r="N33" s="48" t="e">
        <f>VLOOKUP($A33,#REF!,8,0)</f>
        <v>#REF!</v>
      </c>
      <c r="O33" s="50"/>
      <c r="P33" s="48" t="e">
        <f>VLOOKUP($A33,#REF!,9,0)</f>
        <v>#REF!</v>
      </c>
      <c r="Q33" s="50"/>
      <c r="R33" s="48" t="e">
        <f>VLOOKUP($A33,#REF!,10,0)</f>
        <v>#REF!</v>
      </c>
      <c r="S33" s="50"/>
      <c r="T33" s="48" t="e">
        <f>VLOOKUP($A33,#REF!,11,0)</f>
        <v>#REF!</v>
      </c>
      <c r="U33" s="50"/>
      <c r="V33" s="48" t="e">
        <f>VLOOKUP($A33,#REF!,12,0)</f>
        <v>#REF!</v>
      </c>
      <c r="W33" s="50"/>
      <c r="X33" s="48" t="e">
        <f>VLOOKUP($A33,#REF!,13,0)</f>
        <v>#REF!</v>
      </c>
      <c r="Y33" s="50"/>
      <c r="Z33" s="48" t="e">
        <f>VLOOKUP($A33,#REF!,14,0)</f>
        <v>#REF!</v>
      </c>
      <c r="AA33" s="50"/>
    </row>
    <row r="34" spans="1:29" ht="15.75" outlineLevel="1">
      <c r="A34" s="47" t="s">
        <v>18</v>
      </c>
      <c r="B34" s="48" t="e">
        <f>VLOOKUP($A34,#REF!,2,0)</f>
        <v>#REF!</v>
      </c>
      <c r="C34" s="49"/>
      <c r="D34" s="48" t="e">
        <f>VLOOKUP($A34,#REF!,3,0)</f>
        <v>#REF!</v>
      </c>
      <c r="E34" s="49"/>
      <c r="F34" s="48" t="e">
        <f>VLOOKUP($A34,#REF!,4,0)</f>
        <v>#REF!</v>
      </c>
      <c r="G34" s="49"/>
      <c r="H34" s="48" t="e">
        <f>VLOOKUP($A34,#REF!,5,0)</f>
        <v>#REF!</v>
      </c>
      <c r="I34" s="49"/>
      <c r="J34" s="48" t="e">
        <f>VLOOKUP($A34,#REF!,6,0)</f>
        <v>#REF!</v>
      </c>
      <c r="K34" s="49"/>
      <c r="L34" s="48" t="e">
        <f>VLOOKUP($A34,#REF!,7,0)</f>
        <v>#REF!</v>
      </c>
      <c r="M34" s="49"/>
      <c r="N34" s="48" t="e">
        <f>VLOOKUP($A34,#REF!,8,0)</f>
        <v>#REF!</v>
      </c>
      <c r="O34" s="49"/>
      <c r="P34" s="48" t="e">
        <f>VLOOKUP($A34,#REF!,9,0)</f>
        <v>#REF!</v>
      </c>
      <c r="Q34" s="49"/>
      <c r="R34" s="48" t="e">
        <f>VLOOKUP($A34,#REF!,10,0)</f>
        <v>#REF!</v>
      </c>
      <c r="S34" s="49"/>
      <c r="T34" s="48" t="e">
        <f>VLOOKUP($A34,#REF!,11,0)</f>
        <v>#REF!</v>
      </c>
      <c r="U34" s="49"/>
      <c r="V34" s="48" t="e">
        <f>VLOOKUP($A34,#REF!,12,0)</f>
        <v>#REF!</v>
      </c>
      <c r="W34" s="49"/>
      <c r="X34" s="48" t="e">
        <f>VLOOKUP($A34,#REF!,13,0)</f>
        <v>#REF!</v>
      </c>
      <c r="Y34" s="49"/>
      <c r="Z34" s="48" t="e">
        <f>VLOOKUP($A34,#REF!,14,0)</f>
        <v>#REF!</v>
      </c>
      <c r="AA34" s="49"/>
    </row>
    <row r="35" spans="1:29" ht="15.75" outlineLevel="1">
      <c r="A35" s="47" t="s">
        <v>57</v>
      </c>
      <c r="B35" s="48" t="e">
        <f>VLOOKUP($A35,#REF!,2,0)</f>
        <v>#REF!</v>
      </c>
      <c r="C35" s="49"/>
      <c r="D35" s="48" t="e">
        <f>VLOOKUP($A35,#REF!,3,0)</f>
        <v>#REF!</v>
      </c>
      <c r="E35" s="49"/>
      <c r="F35" s="48" t="e">
        <f>VLOOKUP($A35,#REF!,4,0)</f>
        <v>#REF!</v>
      </c>
      <c r="G35" s="49"/>
      <c r="H35" s="48" t="e">
        <f>VLOOKUP($A35,#REF!,5,0)</f>
        <v>#REF!</v>
      </c>
      <c r="I35" s="49"/>
      <c r="J35" s="48" t="e">
        <f>VLOOKUP($A35,#REF!,6,0)</f>
        <v>#REF!</v>
      </c>
      <c r="K35" s="49"/>
      <c r="L35" s="48" t="e">
        <f>VLOOKUP($A35,#REF!,7,0)</f>
        <v>#REF!</v>
      </c>
      <c r="M35" s="49"/>
      <c r="N35" s="48" t="e">
        <f>VLOOKUP($A35,#REF!,8,0)</f>
        <v>#REF!</v>
      </c>
      <c r="O35" s="49"/>
      <c r="P35" s="48" t="e">
        <f>VLOOKUP($A35,#REF!,9,0)</f>
        <v>#REF!</v>
      </c>
      <c r="Q35" s="49"/>
      <c r="R35" s="48" t="e">
        <f>VLOOKUP($A35,#REF!,10,0)</f>
        <v>#REF!</v>
      </c>
      <c r="S35" s="49"/>
      <c r="T35" s="48" t="e">
        <f>VLOOKUP($A35,#REF!,11,0)</f>
        <v>#REF!</v>
      </c>
      <c r="U35" s="49"/>
      <c r="V35" s="48" t="e">
        <f>VLOOKUP($A35,#REF!,12,0)</f>
        <v>#REF!</v>
      </c>
      <c r="W35" s="49"/>
      <c r="X35" s="48" t="e">
        <f>VLOOKUP($A35,#REF!,13,0)</f>
        <v>#REF!</v>
      </c>
      <c r="Y35" s="49"/>
      <c r="Z35" s="48" t="e">
        <f>VLOOKUP($A35,#REF!,14,0)</f>
        <v>#REF!</v>
      </c>
      <c r="AA35" s="49"/>
    </row>
    <row r="36" spans="1:29" ht="15.75" outlineLevel="1">
      <c r="A36" s="47" t="s">
        <v>141</v>
      </c>
      <c r="B36" s="48" t="e">
        <f>VLOOKUP($A36,#REF!,2,0)</f>
        <v>#REF!</v>
      </c>
      <c r="C36" s="49"/>
      <c r="D36" s="48" t="e">
        <f>VLOOKUP($A36,#REF!,3,0)</f>
        <v>#REF!</v>
      </c>
      <c r="E36" s="49"/>
      <c r="F36" s="48" t="e">
        <f>VLOOKUP($A36,#REF!,4,0)</f>
        <v>#REF!</v>
      </c>
      <c r="G36" s="49"/>
      <c r="H36" s="48" t="e">
        <f>VLOOKUP($A36,#REF!,5,0)</f>
        <v>#REF!</v>
      </c>
      <c r="I36" s="49"/>
      <c r="J36" s="48" t="e">
        <f>VLOOKUP($A36,#REF!,6,0)</f>
        <v>#REF!</v>
      </c>
      <c r="K36" s="49"/>
      <c r="L36" s="48" t="e">
        <f>VLOOKUP($A36,#REF!,7,0)</f>
        <v>#REF!</v>
      </c>
      <c r="M36" s="49"/>
      <c r="N36" s="48" t="e">
        <f>VLOOKUP($A36,#REF!,8,0)</f>
        <v>#REF!</v>
      </c>
      <c r="O36" s="49"/>
      <c r="P36" s="48" t="e">
        <f>VLOOKUP($A36,#REF!,9,0)</f>
        <v>#REF!</v>
      </c>
      <c r="Q36" s="49"/>
      <c r="R36" s="48" t="e">
        <f>VLOOKUP($A36,#REF!,10,0)</f>
        <v>#REF!</v>
      </c>
      <c r="S36" s="49"/>
      <c r="T36" s="48" t="e">
        <f>VLOOKUP($A36,#REF!,11,0)</f>
        <v>#REF!</v>
      </c>
      <c r="U36" s="49"/>
      <c r="V36" s="48" t="e">
        <f>VLOOKUP($A36,#REF!,12,0)</f>
        <v>#REF!</v>
      </c>
      <c r="W36" s="49"/>
      <c r="X36" s="48" t="e">
        <f>VLOOKUP($A36,#REF!,13,0)</f>
        <v>#REF!</v>
      </c>
      <c r="Y36" s="49"/>
      <c r="Z36" s="48" t="e">
        <f>VLOOKUP($A36,#REF!,14,0)</f>
        <v>#REF!</v>
      </c>
      <c r="AA36" s="49"/>
    </row>
    <row r="37" spans="1:29" ht="15.75" outlineLevel="1">
      <c r="A37" s="47" t="s">
        <v>25</v>
      </c>
      <c r="B37" s="48" t="e">
        <f>VLOOKUP($A37,#REF!,2,0)</f>
        <v>#REF!</v>
      </c>
      <c r="C37" s="49"/>
      <c r="D37" s="48" t="e">
        <f>VLOOKUP($A37,#REF!,3,0)</f>
        <v>#REF!</v>
      </c>
      <c r="E37" s="49"/>
      <c r="F37" s="48" t="e">
        <f>VLOOKUP($A37,#REF!,4,0)</f>
        <v>#REF!</v>
      </c>
      <c r="G37" s="49"/>
      <c r="H37" s="48" t="e">
        <f>VLOOKUP($A37,#REF!,5,0)</f>
        <v>#REF!</v>
      </c>
      <c r="I37" s="49"/>
      <c r="J37" s="48" t="e">
        <f>VLOOKUP($A37,#REF!,6,0)</f>
        <v>#REF!</v>
      </c>
      <c r="K37" s="49"/>
      <c r="L37" s="48" t="e">
        <f>VLOOKUP($A37,#REF!,7,0)</f>
        <v>#REF!</v>
      </c>
      <c r="M37" s="49"/>
      <c r="N37" s="48" t="e">
        <f>VLOOKUP($A37,#REF!,8,0)</f>
        <v>#REF!</v>
      </c>
      <c r="O37" s="49"/>
      <c r="P37" s="48" t="e">
        <f>VLOOKUP($A37,#REF!,9,0)</f>
        <v>#REF!</v>
      </c>
      <c r="Q37" s="49"/>
      <c r="R37" s="48" t="e">
        <f>VLOOKUP($A37,#REF!,10,0)</f>
        <v>#REF!</v>
      </c>
      <c r="S37" s="49"/>
      <c r="T37" s="48" t="e">
        <f>VLOOKUP($A37,#REF!,11,0)</f>
        <v>#REF!</v>
      </c>
      <c r="U37" s="49"/>
      <c r="V37" s="48" t="e">
        <f>VLOOKUP($A37,#REF!,12,0)</f>
        <v>#REF!</v>
      </c>
      <c r="W37" s="49"/>
      <c r="X37" s="48" t="e">
        <f>VLOOKUP($A37,#REF!,13,0)</f>
        <v>#REF!</v>
      </c>
      <c r="Y37" s="49"/>
      <c r="Z37" s="48" t="e">
        <f>VLOOKUP($A37,#REF!,14,0)</f>
        <v>#REF!</v>
      </c>
      <c r="AA37" s="49"/>
    </row>
    <row r="38" spans="1:29" ht="15.75" outlineLevel="1">
      <c r="A38" s="47" t="s">
        <v>29</v>
      </c>
      <c r="B38" s="48" t="e">
        <f>VLOOKUP($A38,#REF!,2,0)</f>
        <v>#REF!</v>
      </c>
      <c r="C38" s="49"/>
      <c r="D38" s="48" t="e">
        <f>VLOOKUP($A38,#REF!,3,0)</f>
        <v>#REF!</v>
      </c>
      <c r="E38" s="49"/>
      <c r="F38" s="48" t="e">
        <f>VLOOKUP($A38,#REF!,4,0)</f>
        <v>#REF!</v>
      </c>
      <c r="G38" s="49"/>
      <c r="H38" s="48" t="e">
        <f>VLOOKUP($A38,#REF!,5,0)</f>
        <v>#REF!</v>
      </c>
      <c r="I38" s="49"/>
      <c r="J38" s="48" t="e">
        <f>VLOOKUP($A38,#REF!,6,0)</f>
        <v>#REF!</v>
      </c>
      <c r="K38" s="49"/>
      <c r="L38" s="48" t="e">
        <f>VLOOKUP($A38,#REF!,7,0)</f>
        <v>#REF!</v>
      </c>
      <c r="M38" s="49"/>
      <c r="N38" s="48" t="e">
        <f>VLOOKUP($A38,#REF!,8,0)</f>
        <v>#REF!</v>
      </c>
      <c r="O38" s="49"/>
      <c r="P38" s="48" t="e">
        <f>VLOOKUP($A38,#REF!,9,0)</f>
        <v>#REF!</v>
      </c>
      <c r="Q38" s="49"/>
      <c r="R38" s="48" t="e">
        <f>VLOOKUP($A38,#REF!,10,0)</f>
        <v>#REF!</v>
      </c>
      <c r="S38" s="49"/>
      <c r="T38" s="48" t="e">
        <f>VLOOKUP($A38,#REF!,11,0)</f>
        <v>#REF!</v>
      </c>
      <c r="U38" s="49"/>
      <c r="V38" s="48" t="e">
        <f>VLOOKUP($A38,#REF!,12,0)</f>
        <v>#REF!</v>
      </c>
      <c r="W38" s="49"/>
      <c r="X38" s="48" t="e">
        <f>VLOOKUP($A38,#REF!,13,0)</f>
        <v>#REF!</v>
      </c>
      <c r="Y38" s="49"/>
      <c r="Z38" s="48" t="e">
        <f>VLOOKUP($A38,#REF!,14,0)</f>
        <v>#REF!</v>
      </c>
      <c r="AA38" s="49"/>
    </row>
    <row r="39" spans="1:29" ht="15.75" outlineLevel="1">
      <c r="A39" s="47" t="s">
        <v>27</v>
      </c>
      <c r="B39" s="48" t="e">
        <f>VLOOKUP($A39,#REF!,2,0)</f>
        <v>#REF!</v>
      </c>
      <c r="C39" s="49"/>
      <c r="D39" s="48" t="e">
        <f>VLOOKUP($A39,#REF!,3,0)</f>
        <v>#REF!</v>
      </c>
      <c r="E39" s="49"/>
      <c r="F39" s="48" t="e">
        <f>VLOOKUP($A39,#REF!,4,0)</f>
        <v>#REF!</v>
      </c>
      <c r="G39" s="49"/>
      <c r="H39" s="48" t="e">
        <f>VLOOKUP($A39,#REF!,5,0)</f>
        <v>#REF!</v>
      </c>
      <c r="I39" s="49"/>
      <c r="J39" s="48" t="e">
        <f>VLOOKUP($A39,#REF!,6,0)</f>
        <v>#REF!</v>
      </c>
      <c r="K39" s="49"/>
      <c r="L39" s="48" t="e">
        <f>VLOOKUP($A39,#REF!,7,0)</f>
        <v>#REF!</v>
      </c>
      <c r="M39" s="49"/>
      <c r="N39" s="48" t="e">
        <f>VLOOKUP($A39,#REF!,8,0)</f>
        <v>#REF!</v>
      </c>
      <c r="O39" s="49"/>
      <c r="P39" s="48" t="e">
        <f>VLOOKUP($A39,#REF!,9,0)</f>
        <v>#REF!</v>
      </c>
      <c r="Q39" s="49"/>
      <c r="R39" s="48" t="e">
        <f>VLOOKUP($A39,#REF!,10,0)</f>
        <v>#REF!</v>
      </c>
      <c r="S39" s="49"/>
      <c r="T39" s="48" t="e">
        <f>VLOOKUP($A39,#REF!,11,0)</f>
        <v>#REF!</v>
      </c>
      <c r="U39" s="49"/>
      <c r="V39" s="48" t="e">
        <f>VLOOKUP($A39,#REF!,12,0)</f>
        <v>#REF!</v>
      </c>
      <c r="W39" s="49"/>
      <c r="X39" s="48" t="e">
        <f>VLOOKUP($A39,#REF!,13,0)</f>
        <v>#REF!</v>
      </c>
      <c r="Y39" s="49"/>
      <c r="Z39" s="48" t="e">
        <f>VLOOKUP($A39,#REF!,14,0)</f>
        <v>#REF!</v>
      </c>
      <c r="AA39" s="49"/>
    </row>
    <row r="40" spans="1:29" ht="15.75" outlineLevel="1">
      <c r="A40" s="47" t="s">
        <v>22</v>
      </c>
      <c r="B40" s="48" t="e">
        <f>VLOOKUP($A40,#REF!,2,0)</f>
        <v>#REF!</v>
      </c>
      <c r="C40" s="49"/>
      <c r="D40" s="48" t="e">
        <f>VLOOKUP($A40,#REF!,3,0)</f>
        <v>#REF!</v>
      </c>
      <c r="E40" s="49"/>
      <c r="F40" s="48" t="e">
        <f>VLOOKUP($A40,#REF!,4,0)</f>
        <v>#REF!</v>
      </c>
      <c r="G40" s="49"/>
      <c r="H40" s="48" t="e">
        <f>VLOOKUP($A40,#REF!,5,0)</f>
        <v>#REF!</v>
      </c>
      <c r="I40" s="49"/>
      <c r="J40" s="48" t="e">
        <f>VLOOKUP($A40,#REF!,6,0)</f>
        <v>#REF!</v>
      </c>
      <c r="K40" s="49"/>
      <c r="L40" s="48" t="e">
        <f>VLOOKUP($A40,#REF!,7,0)</f>
        <v>#REF!</v>
      </c>
      <c r="M40" s="49"/>
      <c r="N40" s="48" t="e">
        <f>VLOOKUP($A40,#REF!,8,0)</f>
        <v>#REF!</v>
      </c>
      <c r="O40" s="49"/>
      <c r="P40" s="48" t="e">
        <f>VLOOKUP($A40,#REF!,9,0)</f>
        <v>#REF!</v>
      </c>
      <c r="Q40" s="49"/>
      <c r="R40" s="48" t="e">
        <f>VLOOKUP($A40,#REF!,10,0)</f>
        <v>#REF!</v>
      </c>
      <c r="S40" s="49"/>
      <c r="T40" s="48" t="e">
        <f>VLOOKUP($A40,#REF!,11,0)</f>
        <v>#REF!</v>
      </c>
      <c r="U40" s="49"/>
      <c r="V40" s="48" t="e">
        <f>VLOOKUP($A40,#REF!,12,0)</f>
        <v>#REF!</v>
      </c>
      <c r="W40" s="49"/>
      <c r="X40" s="48" t="e">
        <f>VLOOKUP($A40,#REF!,13,0)</f>
        <v>#REF!</v>
      </c>
      <c r="Y40" s="49"/>
      <c r="Z40" s="48" t="e">
        <f>VLOOKUP($A40,#REF!,14,0)</f>
        <v>#REF!</v>
      </c>
      <c r="AA40" s="49"/>
    </row>
    <row r="41" spans="1:29" ht="15.75" outlineLevel="1">
      <c r="A41" s="47" t="s">
        <v>55</v>
      </c>
      <c r="B41" s="48">
        <v>0</v>
      </c>
      <c r="C41" s="49"/>
      <c r="D41" s="48">
        <v>0</v>
      </c>
      <c r="E41" s="49"/>
      <c r="F41" s="48">
        <v>0</v>
      </c>
      <c r="G41" s="49"/>
      <c r="H41" s="48">
        <v>0</v>
      </c>
      <c r="I41" s="49"/>
      <c r="J41" s="48">
        <v>0</v>
      </c>
      <c r="K41" s="49"/>
      <c r="L41" s="48">
        <v>0</v>
      </c>
      <c r="M41" s="49"/>
      <c r="N41" s="48">
        <v>0</v>
      </c>
      <c r="O41" s="49"/>
      <c r="P41" s="48">
        <v>0</v>
      </c>
      <c r="Q41" s="49"/>
      <c r="R41" s="48">
        <v>0</v>
      </c>
      <c r="S41" s="49"/>
      <c r="T41" s="48">
        <v>0</v>
      </c>
      <c r="U41" s="49"/>
      <c r="V41" s="48">
        <v>0</v>
      </c>
      <c r="W41" s="49"/>
      <c r="X41" s="48">
        <v>0</v>
      </c>
      <c r="Y41" s="49"/>
      <c r="Z41" s="48">
        <v>0</v>
      </c>
      <c r="AA41" s="49"/>
    </row>
    <row r="42" spans="1:29" ht="15.75" outlineLevel="1">
      <c r="A42" s="47" t="s">
        <v>45</v>
      </c>
      <c r="B42" s="48" t="e">
        <f>VLOOKUP($A42,#REF!,2,0)</f>
        <v>#REF!</v>
      </c>
      <c r="C42" s="49"/>
      <c r="D42" s="48" t="e">
        <f>VLOOKUP($A42,#REF!,3,0)</f>
        <v>#REF!</v>
      </c>
      <c r="E42" s="49"/>
      <c r="F42" s="48" t="e">
        <f>VLOOKUP($A42,#REF!,4,0)</f>
        <v>#REF!</v>
      </c>
      <c r="G42" s="49"/>
      <c r="H42" s="48" t="e">
        <f>VLOOKUP($A42,#REF!,5,0)</f>
        <v>#REF!</v>
      </c>
      <c r="I42" s="49"/>
      <c r="J42" s="48" t="e">
        <f>VLOOKUP($A42,#REF!,6,0)</f>
        <v>#REF!</v>
      </c>
      <c r="K42" s="49"/>
      <c r="L42" s="48" t="e">
        <f>VLOOKUP($A42,#REF!,7,0)</f>
        <v>#REF!</v>
      </c>
      <c r="M42" s="49"/>
      <c r="N42" s="48" t="e">
        <f>VLOOKUP($A42,#REF!,8,0)</f>
        <v>#REF!</v>
      </c>
      <c r="O42" s="49"/>
      <c r="P42" s="48" t="e">
        <f>VLOOKUP($A42,#REF!,9,0)</f>
        <v>#REF!</v>
      </c>
      <c r="Q42" s="49"/>
      <c r="R42" s="48" t="e">
        <f>VLOOKUP($A42,#REF!,10,0)</f>
        <v>#REF!</v>
      </c>
      <c r="S42" s="49"/>
      <c r="T42" s="48" t="e">
        <f>VLOOKUP($A42,#REF!,11,0)</f>
        <v>#REF!</v>
      </c>
      <c r="U42" s="49"/>
      <c r="V42" s="48" t="e">
        <f>VLOOKUP($A42,#REF!,12,0)</f>
        <v>#REF!</v>
      </c>
      <c r="W42" s="49"/>
      <c r="X42" s="48" t="e">
        <f>VLOOKUP($A42,#REF!,13,0)</f>
        <v>#REF!</v>
      </c>
      <c r="Y42" s="49"/>
      <c r="Z42" s="48" t="e">
        <f>VLOOKUP($A42,#REF!,14,0)</f>
        <v>#REF!</v>
      </c>
      <c r="AA42" s="49"/>
    </row>
    <row r="43" spans="1:29" ht="15.75" outlineLevel="1">
      <c r="A43" s="47" t="s">
        <v>12</v>
      </c>
      <c r="B43" s="48">
        <v>0</v>
      </c>
      <c r="C43" s="49"/>
      <c r="D43" s="48">
        <v>0</v>
      </c>
      <c r="E43" s="49"/>
      <c r="F43" s="48">
        <v>0</v>
      </c>
      <c r="G43" s="49"/>
      <c r="H43" s="48">
        <v>0</v>
      </c>
      <c r="I43" s="49"/>
      <c r="J43" s="48">
        <v>0</v>
      </c>
      <c r="K43" s="49"/>
      <c r="L43" s="48">
        <v>0</v>
      </c>
      <c r="M43" s="49"/>
      <c r="N43" s="48">
        <v>0</v>
      </c>
      <c r="O43" s="49"/>
      <c r="P43" s="48">
        <v>0</v>
      </c>
      <c r="Q43" s="49"/>
      <c r="R43" s="48">
        <v>0</v>
      </c>
      <c r="S43" s="49"/>
      <c r="T43" s="48">
        <v>0</v>
      </c>
      <c r="U43" s="49"/>
      <c r="V43" s="48">
        <v>0</v>
      </c>
      <c r="W43" s="49"/>
      <c r="X43" s="48">
        <v>0</v>
      </c>
      <c r="Y43" s="49"/>
      <c r="Z43" s="48">
        <v>0</v>
      </c>
      <c r="AA43" s="49"/>
    </row>
    <row r="44" spans="1:29" ht="15.75" outlineLevel="1">
      <c r="A44" s="47" t="s">
        <v>37</v>
      </c>
      <c r="B44" s="48">
        <v>0</v>
      </c>
      <c r="C44" s="49"/>
      <c r="D44" s="48">
        <v>0</v>
      </c>
      <c r="E44" s="49"/>
      <c r="F44" s="48">
        <v>0</v>
      </c>
      <c r="G44" s="49"/>
      <c r="H44" s="48">
        <v>0</v>
      </c>
      <c r="I44" s="49"/>
      <c r="J44" s="48">
        <v>0</v>
      </c>
      <c r="K44" s="49"/>
      <c r="L44" s="48">
        <v>0</v>
      </c>
      <c r="M44" s="49"/>
      <c r="N44" s="48">
        <v>0</v>
      </c>
      <c r="O44" s="49"/>
      <c r="P44" s="48">
        <v>0</v>
      </c>
      <c r="Q44" s="49"/>
      <c r="R44" s="48">
        <v>0</v>
      </c>
      <c r="S44" s="49"/>
      <c r="T44" s="48">
        <v>0</v>
      </c>
      <c r="U44" s="49"/>
      <c r="V44" s="48">
        <v>0</v>
      </c>
      <c r="W44" s="49"/>
      <c r="X44" s="48">
        <v>0</v>
      </c>
      <c r="Y44" s="49"/>
      <c r="Z44" s="48">
        <v>0</v>
      </c>
      <c r="AA44" s="49"/>
    </row>
    <row r="45" spans="1:29" ht="8.25" customHeight="1" thickBot="1">
      <c r="C45" s="51"/>
      <c r="E45" s="51"/>
      <c r="G45" s="51"/>
      <c r="I45" s="51"/>
      <c r="K45" s="51"/>
      <c r="M45" s="51"/>
      <c r="O45" s="51"/>
      <c r="Q45" s="51"/>
      <c r="S45" s="51"/>
      <c r="U45" s="51"/>
      <c r="W45" s="51"/>
      <c r="Y45" s="51"/>
      <c r="AA45" s="51"/>
    </row>
    <row r="46" spans="1:29" ht="21.75" thickBot="1">
      <c r="A46" s="38" t="s">
        <v>466</v>
      </c>
      <c r="B46" s="39" t="e">
        <f>B16-B29-B18</f>
        <v>#REF!</v>
      </c>
      <c r="C46" s="40" t="e">
        <f>B46/B$13</f>
        <v>#REF!</v>
      </c>
      <c r="D46" s="39" t="e">
        <f>D16-D29-D18</f>
        <v>#REF!</v>
      </c>
      <c r="E46" s="40" t="e">
        <f>D46/D$13</f>
        <v>#REF!</v>
      </c>
      <c r="F46" s="39" t="e">
        <f>F16-F29-F18</f>
        <v>#REF!</v>
      </c>
      <c r="G46" s="40" t="e">
        <f>F46/F$13</f>
        <v>#REF!</v>
      </c>
      <c r="H46" s="39" t="e">
        <f>H16-H29-H18</f>
        <v>#REF!</v>
      </c>
      <c r="I46" s="40" t="e">
        <f>H46/H$13</f>
        <v>#REF!</v>
      </c>
      <c r="J46" s="39" t="e">
        <f>J16-J29-J18</f>
        <v>#REF!</v>
      </c>
      <c r="K46" s="40" t="e">
        <f>J46/J$13</f>
        <v>#REF!</v>
      </c>
      <c r="L46" s="39" t="e">
        <f>L16-L29-L18</f>
        <v>#REF!</v>
      </c>
      <c r="M46" s="40" t="e">
        <f>L46/L$13</f>
        <v>#REF!</v>
      </c>
      <c r="N46" s="39" t="e">
        <f>N16-N29-N18</f>
        <v>#REF!</v>
      </c>
      <c r="O46" s="40" t="e">
        <f>N46/N$13</f>
        <v>#REF!</v>
      </c>
      <c r="P46" s="39" t="e">
        <f>P16-P29-P18</f>
        <v>#REF!</v>
      </c>
      <c r="Q46" s="40" t="e">
        <f>P46/P$13</f>
        <v>#REF!</v>
      </c>
      <c r="R46" s="39" t="e">
        <f>R16-R29-R18</f>
        <v>#REF!</v>
      </c>
      <c r="S46" s="40" t="e">
        <f>R46/R$13</f>
        <v>#REF!</v>
      </c>
      <c r="T46" s="39" t="e">
        <f>T16-T29-T18</f>
        <v>#REF!</v>
      </c>
      <c r="U46" s="40" t="e">
        <f>T46/T$13</f>
        <v>#REF!</v>
      </c>
      <c r="V46" s="39" t="e">
        <f>V16-V29-V18</f>
        <v>#REF!</v>
      </c>
      <c r="W46" s="40" t="e">
        <f>V46/V$13</f>
        <v>#REF!</v>
      </c>
      <c r="X46" s="39" t="e">
        <f>X16-X29-X18</f>
        <v>#REF!</v>
      </c>
      <c r="Y46" s="40" t="e">
        <f>X46/X$13</f>
        <v>#REF!</v>
      </c>
      <c r="Z46" s="39" t="e">
        <f>Z16-Z29-Z18</f>
        <v>#REF!</v>
      </c>
      <c r="AA46" s="40" t="e">
        <f>Z46/Z$13</f>
        <v>#REF!</v>
      </c>
    </row>
    <row r="47" spans="1:29" ht="8.25" customHeight="1" thickBot="1">
      <c r="C47" s="51"/>
      <c r="E47" s="51"/>
      <c r="G47" s="51"/>
      <c r="I47" s="51"/>
      <c r="K47" s="51"/>
      <c r="M47" s="51"/>
      <c r="O47" s="51"/>
      <c r="Q47" s="51"/>
      <c r="S47" s="51"/>
      <c r="U47" s="51"/>
      <c r="W47" s="51"/>
      <c r="Y47" s="51"/>
      <c r="AA47" s="51"/>
    </row>
    <row r="48" spans="1:29" ht="21.75" thickBot="1">
      <c r="A48" s="44" t="s">
        <v>446</v>
      </c>
      <c r="B48" s="45" t="e">
        <f>SUM(B49:B64)</f>
        <v>#REF!</v>
      </c>
      <c r="C48" s="46" t="e">
        <f>B48/B$10</f>
        <v>#REF!</v>
      </c>
      <c r="D48" s="45" t="e">
        <f>SUM(D49:D64)</f>
        <v>#REF!</v>
      </c>
      <c r="E48" s="46" t="e">
        <f>D48/D$10</f>
        <v>#REF!</v>
      </c>
      <c r="F48" s="45" t="e">
        <f>SUM(F49:F64)</f>
        <v>#REF!</v>
      </c>
      <c r="G48" s="46" t="e">
        <f>F48/F$10</f>
        <v>#REF!</v>
      </c>
      <c r="H48" s="45" t="e">
        <f>SUM(H49:H64)</f>
        <v>#REF!</v>
      </c>
      <c r="I48" s="46" t="e">
        <f>H48/H$10</f>
        <v>#REF!</v>
      </c>
      <c r="J48" s="45" t="e">
        <f>SUM(J49:J64)</f>
        <v>#REF!</v>
      </c>
      <c r="K48" s="46" t="e">
        <f>J48/J$10</f>
        <v>#REF!</v>
      </c>
      <c r="L48" s="45" t="e">
        <f>SUM(L49:L64)</f>
        <v>#REF!</v>
      </c>
      <c r="M48" s="46" t="e">
        <f>L48/L$10</f>
        <v>#REF!</v>
      </c>
      <c r="N48" s="45" t="e">
        <f>SUM(N49:N64)</f>
        <v>#REF!</v>
      </c>
      <c r="O48" s="46" t="e">
        <f>N48/N$10</f>
        <v>#REF!</v>
      </c>
      <c r="P48" s="45" t="e">
        <f>SUM(P49:P64)</f>
        <v>#REF!</v>
      </c>
      <c r="Q48" s="46" t="e">
        <f>P48/P$10</f>
        <v>#REF!</v>
      </c>
      <c r="R48" s="45" t="e">
        <f>SUM(R49:R64)</f>
        <v>#REF!</v>
      </c>
      <c r="S48" s="46" t="e">
        <f>R48/R$10</f>
        <v>#REF!</v>
      </c>
      <c r="T48" s="45" t="e">
        <f>SUM(T49:T64)</f>
        <v>#REF!</v>
      </c>
      <c r="U48" s="46" t="e">
        <f>T48/T$10</f>
        <v>#REF!</v>
      </c>
      <c r="V48" s="45" t="e">
        <f>SUM(V49:V64)</f>
        <v>#REF!</v>
      </c>
      <c r="W48" s="46" t="e">
        <f>V48/V$10</f>
        <v>#REF!</v>
      </c>
      <c r="X48" s="45" t="e">
        <f>SUM(X49:X64)</f>
        <v>#REF!</v>
      </c>
      <c r="Y48" s="46" t="e">
        <f>X48/X$10</f>
        <v>#REF!</v>
      </c>
      <c r="Z48" s="45" t="e">
        <f>SUM(Z49:Z64)</f>
        <v>#REF!</v>
      </c>
      <c r="AA48" s="46" t="e">
        <f>Z48/Z$10</f>
        <v>#REF!</v>
      </c>
      <c r="AC48" t="e">
        <f>Z48/Z11</f>
        <v>#REF!</v>
      </c>
    </row>
    <row r="49" spans="1:27" s="66" customFormat="1" ht="15.75" outlineLevel="1">
      <c r="A49" s="47" t="s">
        <v>462</v>
      </c>
      <c r="B49" s="48">
        <f>'P&amp;L Monthly'!B11</f>
        <v>0</v>
      </c>
      <c r="C49" s="49"/>
      <c r="D49" s="48">
        <f>'P&amp;L Monthly'!D11</f>
        <v>0</v>
      </c>
      <c r="E49" s="49"/>
      <c r="F49" s="48">
        <f>'P&amp;L Monthly'!F11</f>
        <v>0</v>
      </c>
      <c r="G49" s="49"/>
      <c r="H49" s="48">
        <f>'P&amp;L Monthly'!H11</f>
        <v>0</v>
      </c>
      <c r="I49" s="49"/>
      <c r="J49" s="48">
        <f>'P&amp;L Monthly'!J11</f>
        <v>0</v>
      </c>
      <c r="K49" s="49"/>
      <c r="L49" s="48">
        <f>'P&amp;L Monthly'!L11</f>
        <v>0</v>
      </c>
      <c r="M49" s="49"/>
      <c r="N49" s="48">
        <f>'P&amp;L Monthly'!N11</f>
        <v>0</v>
      </c>
      <c r="O49" s="49"/>
      <c r="P49" s="48">
        <f>'P&amp;L Monthly'!P11</f>
        <v>0</v>
      </c>
      <c r="Q49" s="49"/>
      <c r="R49" s="48">
        <f>'P&amp;L Monthly'!R11</f>
        <v>0</v>
      </c>
      <c r="S49" s="49"/>
      <c r="T49" s="48">
        <f>'P&amp;L Monthly'!T11</f>
        <v>0</v>
      </c>
      <c r="U49" s="49"/>
      <c r="V49" s="48">
        <f>'P&amp;L Monthly'!V11</f>
        <v>0</v>
      </c>
      <c r="W49" s="49"/>
      <c r="X49" s="48">
        <f>'P&amp;L Monthly'!X11</f>
        <v>0</v>
      </c>
      <c r="Y49" s="49"/>
      <c r="Z49" s="48">
        <f>'P&amp;L Monthly'!Z11</f>
        <v>0</v>
      </c>
      <c r="AA49" s="49"/>
    </row>
    <row r="50" spans="1:27" s="66" customFormat="1" ht="15.75" outlineLevel="1">
      <c r="A50" s="47" t="s">
        <v>148</v>
      </c>
      <c r="B50" s="48" t="e">
        <f>VLOOKUP($A50,#REF!,2,0)</f>
        <v>#REF!</v>
      </c>
      <c r="C50" s="49"/>
      <c r="D50" s="48" t="e">
        <f>VLOOKUP($A50,#REF!,3,0)</f>
        <v>#REF!</v>
      </c>
      <c r="E50" s="49"/>
      <c r="F50" s="48" t="e">
        <f>VLOOKUP($A50,#REF!,4,0)</f>
        <v>#REF!</v>
      </c>
      <c r="G50" s="49"/>
      <c r="H50" s="48" t="e">
        <f>VLOOKUP($A50,#REF!,5,0)</f>
        <v>#REF!</v>
      </c>
      <c r="I50" s="49"/>
      <c r="J50" s="48" t="e">
        <f>VLOOKUP($A50,#REF!,6,0)</f>
        <v>#REF!</v>
      </c>
      <c r="K50" s="49"/>
      <c r="L50" s="48" t="e">
        <f>VLOOKUP($A50,#REF!,7,0)</f>
        <v>#REF!</v>
      </c>
      <c r="M50" s="49"/>
      <c r="N50" s="48" t="e">
        <f>VLOOKUP($A50,#REF!,8,0)</f>
        <v>#REF!</v>
      </c>
      <c r="O50" s="49"/>
      <c r="P50" s="48" t="e">
        <f>VLOOKUP($A50,#REF!,9,0)</f>
        <v>#REF!</v>
      </c>
      <c r="Q50" s="49"/>
      <c r="R50" s="48" t="e">
        <f>VLOOKUP($A50,#REF!,10,0)</f>
        <v>#REF!</v>
      </c>
      <c r="S50" s="49"/>
      <c r="T50" s="48" t="e">
        <f>VLOOKUP($A50,#REF!,11,0)</f>
        <v>#REF!</v>
      </c>
      <c r="U50" s="49"/>
      <c r="V50" s="48" t="e">
        <f>VLOOKUP($A50,#REF!,12,0)</f>
        <v>#REF!</v>
      </c>
      <c r="W50" s="49"/>
      <c r="X50" s="48" t="e">
        <f>VLOOKUP($A50,#REF!,13,0)</f>
        <v>#REF!</v>
      </c>
      <c r="Y50" s="49"/>
      <c r="Z50" s="48" t="e">
        <f>VLOOKUP($A50,#REF!,14,0)</f>
        <v>#REF!</v>
      </c>
      <c r="AA50" s="49"/>
    </row>
    <row r="51" spans="1:27" s="66" customFormat="1" ht="15.75" outlineLevel="1">
      <c r="A51" s="47" t="s">
        <v>149</v>
      </c>
      <c r="B51" s="48" t="e">
        <f>VLOOKUP($A51,#REF!,2,0)</f>
        <v>#REF!</v>
      </c>
      <c r="C51" s="49"/>
      <c r="D51" s="48" t="e">
        <f>VLOOKUP($A51,#REF!,3,0)</f>
        <v>#REF!</v>
      </c>
      <c r="E51" s="49"/>
      <c r="F51" s="48" t="e">
        <f>VLOOKUP($A51,#REF!,4,0)</f>
        <v>#REF!</v>
      </c>
      <c r="G51" s="49"/>
      <c r="H51" s="48" t="e">
        <f>VLOOKUP($A51,#REF!,5,0)</f>
        <v>#REF!</v>
      </c>
      <c r="I51" s="49"/>
      <c r="J51" s="48" t="e">
        <f>VLOOKUP($A51,#REF!,6,0)</f>
        <v>#REF!</v>
      </c>
      <c r="K51" s="49"/>
      <c r="L51" s="48" t="e">
        <f>VLOOKUP($A51,#REF!,7,0)</f>
        <v>#REF!</v>
      </c>
      <c r="M51" s="49"/>
      <c r="N51" s="48" t="e">
        <f>VLOOKUP($A51,#REF!,8,0)</f>
        <v>#REF!</v>
      </c>
      <c r="O51" s="49"/>
      <c r="P51" s="48" t="e">
        <f>VLOOKUP($A51,#REF!,9,0)</f>
        <v>#REF!</v>
      </c>
      <c r="Q51" s="49"/>
      <c r="R51" s="48" t="e">
        <f>VLOOKUP($A51,#REF!,10,0)</f>
        <v>#REF!</v>
      </c>
      <c r="S51" s="49"/>
      <c r="T51" s="48" t="e">
        <f>VLOOKUP($A51,#REF!,11,0)</f>
        <v>#REF!</v>
      </c>
      <c r="U51" s="49"/>
      <c r="V51" s="48" t="e">
        <f>VLOOKUP($A51,#REF!,12,0)</f>
        <v>#REF!</v>
      </c>
      <c r="W51" s="49"/>
      <c r="X51" s="48" t="e">
        <f>VLOOKUP($A51,#REF!,13,0)</f>
        <v>#REF!</v>
      </c>
      <c r="Y51" s="49"/>
      <c r="Z51" s="48" t="e">
        <f>VLOOKUP($A51,#REF!,14,0)</f>
        <v>#REF!</v>
      </c>
      <c r="AA51" s="49"/>
    </row>
    <row r="52" spans="1:27" s="66" customFormat="1" ht="15.75" outlineLevel="1">
      <c r="A52" s="47" t="s">
        <v>37</v>
      </c>
      <c r="B52" s="48" t="e">
        <f>VLOOKUP($A52,#REF!,2,0)</f>
        <v>#REF!</v>
      </c>
      <c r="C52" s="49"/>
      <c r="D52" s="48" t="e">
        <f>VLOOKUP($A52,#REF!,3,0)</f>
        <v>#REF!</v>
      </c>
      <c r="E52" s="49"/>
      <c r="F52" s="48" t="e">
        <f>VLOOKUP($A52,#REF!,4,0)</f>
        <v>#REF!</v>
      </c>
      <c r="G52" s="49"/>
      <c r="H52" s="48" t="e">
        <f>VLOOKUP($A52,#REF!,5,0)</f>
        <v>#REF!</v>
      </c>
      <c r="I52" s="49"/>
      <c r="J52" s="48" t="e">
        <f>VLOOKUP($A52,#REF!,6,0)</f>
        <v>#REF!</v>
      </c>
      <c r="K52" s="49"/>
      <c r="L52" s="48" t="e">
        <f>VLOOKUP($A52,#REF!,7,0)</f>
        <v>#REF!</v>
      </c>
      <c r="M52" s="49"/>
      <c r="N52" s="48" t="e">
        <f>VLOOKUP($A52,#REF!,8,0)</f>
        <v>#REF!</v>
      </c>
      <c r="O52" s="49"/>
      <c r="P52" s="48" t="e">
        <f>VLOOKUP($A52,#REF!,9,0)</f>
        <v>#REF!</v>
      </c>
      <c r="Q52" s="49"/>
      <c r="R52" s="48" t="e">
        <f>VLOOKUP($A52,#REF!,10,0)</f>
        <v>#REF!</v>
      </c>
      <c r="S52" s="49"/>
      <c r="T52" s="48" t="e">
        <f>VLOOKUP($A52,#REF!,11,0)</f>
        <v>#REF!</v>
      </c>
      <c r="U52" s="49"/>
      <c r="V52" s="48" t="e">
        <f>VLOOKUP($A52,#REF!,12,0)</f>
        <v>#REF!</v>
      </c>
      <c r="W52" s="49"/>
      <c r="X52" s="48" t="e">
        <f>VLOOKUP($A52,#REF!,13,0)</f>
        <v>#REF!</v>
      </c>
      <c r="Y52" s="49"/>
      <c r="Z52" s="48" t="e">
        <f>VLOOKUP($A52,#REF!,14,0)</f>
        <v>#REF!</v>
      </c>
      <c r="AA52" s="49"/>
    </row>
    <row r="53" spans="1:27" s="66" customFormat="1" ht="15.75" outlineLevel="1">
      <c r="A53" s="47" t="s">
        <v>67</v>
      </c>
      <c r="B53" s="48">
        <v>0</v>
      </c>
      <c r="C53" s="49"/>
      <c r="D53" s="48">
        <v>0</v>
      </c>
      <c r="E53" s="49"/>
      <c r="F53" s="48">
        <v>0</v>
      </c>
      <c r="G53" s="49"/>
      <c r="H53" s="48">
        <v>0</v>
      </c>
      <c r="I53" s="49"/>
      <c r="J53" s="48">
        <v>0</v>
      </c>
      <c r="K53" s="49"/>
      <c r="L53" s="48">
        <v>0</v>
      </c>
      <c r="M53" s="49"/>
      <c r="N53" s="48">
        <v>0</v>
      </c>
      <c r="O53" s="49"/>
      <c r="P53" s="48">
        <v>0</v>
      </c>
      <c r="Q53" s="49"/>
      <c r="R53" s="48">
        <v>0</v>
      </c>
      <c r="S53" s="49"/>
      <c r="T53" s="48">
        <v>0</v>
      </c>
      <c r="U53" s="49"/>
      <c r="V53" s="48">
        <v>0</v>
      </c>
      <c r="W53" s="49"/>
      <c r="X53" s="48">
        <v>0</v>
      </c>
      <c r="Y53" s="49"/>
      <c r="Z53" s="48">
        <v>0</v>
      </c>
      <c r="AA53" s="49"/>
    </row>
    <row r="54" spans="1:27" s="66" customFormat="1" ht="15.75" outlineLevel="1">
      <c r="A54" s="47" t="s">
        <v>27</v>
      </c>
      <c r="B54" s="48">
        <v>0</v>
      </c>
      <c r="C54" s="49"/>
      <c r="D54" s="48">
        <v>0</v>
      </c>
      <c r="E54" s="49"/>
      <c r="F54" s="48">
        <v>0</v>
      </c>
      <c r="G54" s="49"/>
      <c r="H54" s="48">
        <v>0</v>
      </c>
      <c r="I54" s="49"/>
      <c r="J54" s="48">
        <v>0</v>
      </c>
      <c r="K54" s="49"/>
      <c r="L54" s="48">
        <v>0</v>
      </c>
      <c r="M54" s="49"/>
      <c r="N54" s="48">
        <v>0</v>
      </c>
      <c r="O54" s="49"/>
      <c r="P54" s="48">
        <v>0</v>
      </c>
      <c r="Q54" s="49"/>
      <c r="R54" s="48">
        <v>0</v>
      </c>
      <c r="S54" s="49"/>
      <c r="T54" s="48">
        <v>0</v>
      </c>
      <c r="U54" s="49"/>
      <c r="V54" s="48">
        <v>0</v>
      </c>
      <c r="W54" s="49"/>
      <c r="X54" s="48">
        <v>0</v>
      </c>
      <c r="Y54" s="49"/>
      <c r="Z54" s="48">
        <v>0</v>
      </c>
      <c r="AA54" s="49"/>
    </row>
    <row r="55" spans="1:27" s="66" customFormat="1" ht="15.75" outlineLevel="1">
      <c r="A55" s="47" t="s">
        <v>18</v>
      </c>
      <c r="B55" s="48" t="e">
        <f>VLOOKUP($A55,#REF!,2,0)</f>
        <v>#REF!</v>
      </c>
      <c r="C55" s="49"/>
      <c r="D55" s="48" t="e">
        <f>VLOOKUP($A55,#REF!,3,0)</f>
        <v>#REF!</v>
      </c>
      <c r="E55" s="49"/>
      <c r="F55" s="48" t="e">
        <f>VLOOKUP($A55,#REF!,4,0)</f>
        <v>#REF!</v>
      </c>
      <c r="G55" s="49"/>
      <c r="H55" s="48" t="e">
        <f>VLOOKUP($A55,#REF!,5,0)</f>
        <v>#REF!</v>
      </c>
      <c r="I55" s="49"/>
      <c r="J55" s="48" t="e">
        <f>VLOOKUP($A55,#REF!,6,0)</f>
        <v>#REF!</v>
      </c>
      <c r="K55" s="49"/>
      <c r="L55" s="48" t="e">
        <f>VLOOKUP($A55,#REF!,7,0)</f>
        <v>#REF!</v>
      </c>
      <c r="M55" s="49"/>
      <c r="N55" s="48" t="e">
        <f>VLOOKUP($A55,#REF!,8,0)</f>
        <v>#REF!</v>
      </c>
      <c r="O55" s="49"/>
      <c r="P55" s="48" t="e">
        <f>VLOOKUP($A55,#REF!,9,0)</f>
        <v>#REF!</v>
      </c>
      <c r="Q55" s="49"/>
      <c r="R55" s="48" t="e">
        <f>VLOOKUP($A55,#REF!,10,0)</f>
        <v>#REF!</v>
      </c>
      <c r="S55" s="49"/>
      <c r="T55" s="48" t="e">
        <f>VLOOKUP($A55,#REF!,11,0)</f>
        <v>#REF!</v>
      </c>
      <c r="U55" s="49"/>
      <c r="V55" s="48" t="e">
        <f>VLOOKUP($A55,#REF!,12,0)</f>
        <v>#REF!</v>
      </c>
      <c r="W55" s="49"/>
      <c r="X55" s="48" t="e">
        <f>VLOOKUP($A55,#REF!,13,0)</f>
        <v>#REF!</v>
      </c>
      <c r="Y55" s="49"/>
      <c r="Z55" s="48" t="e">
        <f>VLOOKUP($A55,#REF!,14,0)</f>
        <v>#REF!</v>
      </c>
      <c r="AA55" s="49"/>
    </row>
    <row r="56" spans="1:27" s="66" customFormat="1" ht="15.75" outlineLevel="1">
      <c r="A56" s="47" t="s">
        <v>138</v>
      </c>
      <c r="B56" s="48">
        <v>0</v>
      </c>
      <c r="C56" s="49"/>
      <c r="D56" s="48">
        <v>0</v>
      </c>
      <c r="E56" s="49"/>
      <c r="F56" s="48">
        <v>0</v>
      </c>
      <c r="G56" s="49"/>
      <c r="H56" s="48">
        <v>0</v>
      </c>
      <c r="I56" s="49"/>
      <c r="J56" s="48">
        <v>0</v>
      </c>
      <c r="K56" s="49"/>
      <c r="L56" s="48">
        <v>0</v>
      </c>
      <c r="M56" s="49"/>
      <c r="N56" s="48">
        <v>0</v>
      </c>
      <c r="O56" s="49"/>
      <c r="P56" s="48">
        <v>0</v>
      </c>
      <c r="Q56" s="49"/>
      <c r="R56" s="48">
        <v>0</v>
      </c>
      <c r="S56" s="49"/>
      <c r="T56" s="48">
        <v>0</v>
      </c>
      <c r="U56" s="49"/>
      <c r="V56" s="48">
        <v>0</v>
      </c>
      <c r="W56" s="49"/>
      <c r="X56" s="48">
        <v>0</v>
      </c>
      <c r="Y56" s="49"/>
      <c r="Z56" s="48">
        <v>0</v>
      </c>
      <c r="AA56" s="49"/>
    </row>
    <row r="57" spans="1:27" s="66" customFormat="1" ht="15.75" outlineLevel="1">
      <c r="A57" s="47" t="s">
        <v>55</v>
      </c>
      <c r="B57" s="48">
        <v>0</v>
      </c>
      <c r="C57" s="49"/>
      <c r="D57" s="48">
        <v>0</v>
      </c>
      <c r="E57" s="49"/>
      <c r="F57" s="48">
        <v>0</v>
      </c>
      <c r="G57" s="49"/>
      <c r="H57" s="48">
        <v>0</v>
      </c>
      <c r="I57" s="49"/>
      <c r="J57" s="48">
        <v>0</v>
      </c>
      <c r="K57" s="49"/>
      <c r="L57" s="48">
        <v>0</v>
      </c>
      <c r="M57" s="49"/>
      <c r="N57" s="48">
        <v>0</v>
      </c>
      <c r="O57" s="49"/>
      <c r="P57" s="48">
        <v>0</v>
      </c>
      <c r="Q57" s="49"/>
      <c r="R57" s="48">
        <v>0</v>
      </c>
      <c r="S57" s="49"/>
      <c r="T57" s="48">
        <v>0</v>
      </c>
      <c r="U57" s="49"/>
      <c r="V57" s="48">
        <v>0</v>
      </c>
      <c r="W57" s="49"/>
      <c r="X57" s="48">
        <v>0</v>
      </c>
      <c r="Y57" s="49"/>
      <c r="Z57" s="48">
        <v>0</v>
      </c>
      <c r="AA57" s="49"/>
    </row>
    <row r="58" spans="1:27" s="66" customFormat="1" ht="15.75" outlineLevel="1">
      <c r="A58" s="47" t="s">
        <v>45</v>
      </c>
      <c r="B58" s="48" t="e">
        <f>VLOOKUP($A58,#REF!,2,0)</f>
        <v>#REF!</v>
      </c>
      <c r="C58" s="49"/>
      <c r="D58" s="48" t="e">
        <f>VLOOKUP($A58,#REF!,3,0)</f>
        <v>#REF!</v>
      </c>
      <c r="E58" s="49"/>
      <c r="F58" s="48" t="e">
        <f>VLOOKUP($A58,#REF!,4,0)</f>
        <v>#REF!</v>
      </c>
      <c r="G58" s="49"/>
      <c r="H58" s="48" t="e">
        <f>VLOOKUP($A58,#REF!,5,0)</f>
        <v>#REF!</v>
      </c>
      <c r="I58" s="49"/>
      <c r="J58" s="48" t="e">
        <f>VLOOKUP($A58,#REF!,6,0)</f>
        <v>#REF!</v>
      </c>
      <c r="K58" s="49"/>
      <c r="L58" s="48" t="e">
        <f>VLOOKUP($A58,#REF!,7,0)</f>
        <v>#REF!</v>
      </c>
      <c r="M58" s="49"/>
      <c r="N58" s="48" t="e">
        <f>VLOOKUP($A58,#REF!,8,0)</f>
        <v>#REF!</v>
      </c>
      <c r="O58" s="49"/>
      <c r="P58" s="48" t="e">
        <f>VLOOKUP($A58,#REF!,9,0)</f>
        <v>#REF!</v>
      </c>
      <c r="Q58" s="49"/>
      <c r="R58" s="48" t="e">
        <f>VLOOKUP($A58,#REF!,10,0)</f>
        <v>#REF!</v>
      </c>
      <c r="S58" s="49"/>
      <c r="T58" s="48" t="e">
        <f>VLOOKUP($A58,#REF!,11,0)</f>
        <v>#REF!</v>
      </c>
      <c r="U58" s="49"/>
      <c r="V58" s="48" t="e">
        <f>VLOOKUP($A58,#REF!,12,0)</f>
        <v>#REF!</v>
      </c>
      <c r="W58" s="49"/>
      <c r="X58" s="48" t="e">
        <f>VLOOKUP($A58,#REF!,13,0)</f>
        <v>#REF!</v>
      </c>
      <c r="Y58" s="49"/>
      <c r="Z58" s="48" t="e">
        <f>VLOOKUP($A58,#REF!,14,0)</f>
        <v>#REF!</v>
      </c>
      <c r="AA58" s="49"/>
    </row>
    <row r="59" spans="1:27" s="66" customFormat="1" ht="15.75" outlineLevel="1">
      <c r="A59" s="47" t="s">
        <v>29</v>
      </c>
      <c r="B59" s="48" t="e">
        <f>VLOOKUP($A59,#REF!,2,0)</f>
        <v>#REF!</v>
      </c>
      <c r="C59" s="49"/>
      <c r="D59" s="48" t="e">
        <f>VLOOKUP($A59,#REF!,3,0)</f>
        <v>#REF!</v>
      </c>
      <c r="E59" s="49"/>
      <c r="F59" s="48" t="e">
        <f>VLOOKUP($A59,#REF!,4,0)</f>
        <v>#REF!</v>
      </c>
      <c r="G59" s="49"/>
      <c r="H59" s="48" t="e">
        <f>VLOOKUP($A59,#REF!,5,0)</f>
        <v>#REF!</v>
      </c>
      <c r="I59" s="49"/>
      <c r="J59" s="48" t="e">
        <f>VLOOKUP($A59,#REF!,6,0)</f>
        <v>#REF!</v>
      </c>
      <c r="K59" s="49"/>
      <c r="L59" s="48" t="e">
        <f>VLOOKUP($A59,#REF!,7,0)</f>
        <v>#REF!</v>
      </c>
      <c r="M59" s="49"/>
      <c r="N59" s="48" t="e">
        <f>VLOOKUP($A59,#REF!,8,0)</f>
        <v>#REF!</v>
      </c>
      <c r="O59" s="49"/>
      <c r="P59" s="48" t="e">
        <f>VLOOKUP($A59,#REF!,9,0)</f>
        <v>#REF!</v>
      </c>
      <c r="Q59" s="49"/>
      <c r="R59" s="48" t="e">
        <f>VLOOKUP($A59,#REF!,10,0)</f>
        <v>#REF!</v>
      </c>
      <c r="S59" s="49"/>
      <c r="T59" s="48" t="e">
        <f>VLOOKUP($A59,#REF!,11,0)</f>
        <v>#REF!</v>
      </c>
      <c r="U59" s="49"/>
      <c r="V59" s="48" t="e">
        <f>VLOOKUP($A59,#REF!,12,0)</f>
        <v>#REF!</v>
      </c>
      <c r="W59" s="49"/>
      <c r="X59" s="48" t="e">
        <f>VLOOKUP($A59,#REF!,13,0)</f>
        <v>#REF!</v>
      </c>
      <c r="Y59" s="49"/>
      <c r="Z59" s="48" t="e">
        <f>VLOOKUP($A59,#REF!,14,0)</f>
        <v>#REF!</v>
      </c>
      <c r="AA59" s="49"/>
    </row>
    <row r="60" spans="1:27" s="66" customFormat="1" ht="15.75" outlineLevel="1">
      <c r="A60" s="47" t="s">
        <v>89</v>
      </c>
      <c r="B60" s="48">
        <v>0</v>
      </c>
      <c r="C60" s="49"/>
      <c r="D60" s="48">
        <v>0</v>
      </c>
      <c r="E60" s="49"/>
      <c r="F60" s="48">
        <v>0</v>
      </c>
      <c r="G60" s="49"/>
      <c r="H60" s="48">
        <v>0</v>
      </c>
      <c r="I60" s="49"/>
      <c r="J60" s="48">
        <v>0</v>
      </c>
      <c r="K60" s="49"/>
      <c r="L60" s="48">
        <v>0</v>
      </c>
      <c r="M60" s="49"/>
      <c r="N60" s="48">
        <v>0</v>
      </c>
      <c r="O60" s="49"/>
      <c r="P60" s="48">
        <v>0</v>
      </c>
      <c r="Q60" s="49"/>
      <c r="R60" s="48">
        <v>0</v>
      </c>
      <c r="S60" s="49"/>
      <c r="T60" s="48">
        <v>0</v>
      </c>
      <c r="U60" s="49"/>
      <c r="V60" s="48">
        <v>0</v>
      </c>
      <c r="W60" s="49"/>
      <c r="X60" s="48">
        <v>0</v>
      </c>
      <c r="Y60" s="49"/>
      <c r="Z60" s="48">
        <v>0</v>
      </c>
      <c r="AA60" s="49"/>
    </row>
    <row r="61" spans="1:27" s="66" customFormat="1" ht="15.75" outlineLevel="1">
      <c r="A61" s="47" t="s">
        <v>22</v>
      </c>
      <c r="B61" s="48">
        <v>0</v>
      </c>
      <c r="C61" s="49"/>
      <c r="D61" s="48">
        <v>0</v>
      </c>
      <c r="E61" s="49"/>
      <c r="F61" s="48">
        <v>0</v>
      </c>
      <c r="G61" s="49"/>
      <c r="H61" s="48">
        <v>0</v>
      </c>
      <c r="I61" s="49"/>
      <c r="J61" s="48">
        <v>0</v>
      </c>
      <c r="K61" s="49"/>
      <c r="L61" s="48">
        <v>0</v>
      </c>
      <c r="M61" s="49"/>
      <c r="N61" s="48">
        <v>0</v>
      </c>
      <c r="O61" s="49"/>
      <c r="P61" s="48">
        <v>0</v>
      </c>
      <c r="Q61" s="49"/>
      <c r="R61" s="48">
        <v>0</v>
      </c>
      <c r="S61" s="49"/>
      <c r="T61" s="48">
        <v>0</v>
      </c>
      <c r="U61" s="49"/>
      <c r="V61" s="48">
        <v>0</v>
      </c>
      <c r="W61" s="49"/>
      <c r="X61" s="48">
        <v>0</v>
      </c>
      <c r="Y61" s="49"/>
      <c r="Z61" s="48">
        <v>0</v>
      </c>
      <c r="AA61" s="49"/>
    </row>
    <row r="62" spans="1:27" s="66" customFormat="1" ht="15.75" outlineLevel="1">
      <c r="A62" s="47" t="s">
        <v>153</v>
      </c>
      <c r="B62" s="48" t="e">
        <f>VLOOKUP($A62,#REF!,2,0)</f>
        <v>#REF!</v>
      </c>
      <c r="C62" s="49"/>
      <c r="D62" s="48" t="e">
        <f>VLOOKUP($A62,#REF!,3,0)</f>
        <v>#REF!</v>
      </c>
      <c r="E62" s="49"/>
      <c r="F62" s="48" t="e">
        <f>VLOOKUP($A62,#REF!,4,0)</f>
        <v>#REF!</v>
      </c>
      <c r="G62" s="49"/>
      <c r="H62" s="48" t="e">
        <f>VLOOKUP($A62,#REF!,5,0)</f>
        <v>#REF!</v>
      </c>
      <c r="I62" s="49"/>
      <c r="J62" s="48" t="e">
        <f>VLOOKUP($A62,#REF!,6,0)</f>
        <v>#REF!</v>
      </c>
      <c r="K62" s="49"/>
      <c r="L62" s="48" t="e">
        <f>VLOOKUP($A62,#REF!,7,0)</f>
        <v>#REF!</v>
      </c>
      <c r="M62" s="49"/>
      <c r="N62" s="48" t="e">
        <f>VLOOKUP($A62,#REF!,8,0)</f>
        <v>#REF!</v>
      </c>
      <c r="O62" s="49"/>
      <c r="P62" s="48" t="e">
        <f>VLOOKUP($A62,#REF!,9,0)</f>
        <v>#REF!</v>
      </c>
      <c r="Q62" s="49"/>
      <c r="R62" s="48" t="e">
        <f>VLOOKUP($A62,#REF!,10,0)</f>
        <v>#REF!</v>
      </c>
      <c r="S62" s="49"/>
      <c r="T62" s="48" t="e">
        <f>VLOOKUP($A62,#REF!,11,0)</f>
        <v>#REF!</v>
      </c>
      <c r="U62" s="49"/>
      <c r="V62" s="48" t="e">
        <f>VLOOKUP($A62,#REF!,12,0)</f>
        <v>#REF!</v>
      </c>
      <c r="W62" s="49"/>
      <c r="X62" s="48" t="e">
        <f>VLOOKUP($A62,#REF!,13,0)</f>
        <v>#REF!</v>
      </c>
      <c r="Y62" s="49"/>
      <c r="Z62" s="48" t="e">
        <f>VLOOKUP($A62,#REF!,14,0)</f>
        <v>#REF!</v>
      </c>
      <c r="AA62" s="49"/>
    </row>
    <row r="63" spans="1:27" s="66" customFormat="1" ht="15.75" outlineLevel="1">
      <c r="A63" s="47" t="s">
        <v>10</v>
      </c>
      <c r="B63" s="48" t="e">
        <f>VLOOKUP($A63,#REF!,2,0)</f>
        <v>#REF!</v>
      </c>
      <c r="C63" s="49"/>
      <c r="D63" s="48" t="e">
        <f>VLOOKUP($A63,#REF!,3,0)</f>
        <v>#REF!</v>
      </c>
      <c r="E63" s="49"/>
      <c r="F63" s="48" t="e">
        <f>VLOOKUP($A63,#REF!,4,0)</f>
        <v>#REF!</v>
      </c>
      <c r="G63" s="49"/>
      <c r="H63" s="48" t="e">
        <f>VLOOKUP($A63,#REF!,5,0)</f>
        <v>#REF!</v>
      </c>
      <c r="I63" s="49"/>
      <c r="J63" s="48" t="e">
        <f>VLOOKUP($A63,#REF!,6,0)</f>
        <v>#REF!</v>
      </c>
      <c r="K63" s="49"/>
      <c r="L63" s="48" t="e">
        <f>VLOOKUP($A63,#REF!,7,0)</f>
        <v>#REF!</v>
      </c>
      <c r="M63" s="49"/>
      <c r="N63" s="48" t="e">
        <f>VLOOKUP($A63,#REF!,8,0)</f>
        <v>#REF!</v>
      </c>
      <c r="O63" s="49"/>
      <c r="P63" s="48" t="e">
        <f>VLOOKUP($A63,#REF!,9,0)</f>
        <v>#REF!</v>
      </c>
      <c r="Q63" s="49"/>
      <c r="R63" s="48" t="e">
        <f>VLOOKUP($A63,#REF!,10,0)</f>
        <v>#REF!</v>
      </c>
      <c r="S63" s="49"/>
      <c r="T63" s="48" t="e">
        <f>VLOOKUP($A63,#REF!,11,0)</f>
        <v>#REF!</v>
      </c>
      <c r="U63" s="49"/>
      <c r="V63" s="48" t="e">
        <f>VLOOKUP($A63,#REF!,12,0)</f>
        <v>#REF!</v>
      </c>
      <c r="W63" s="49"/>
      <c r="X63" s="48" t="e">
        <f>VLOOKUP($A63,#REF!,13,0)</f>
        <v>#REF!</v>
      </c>
      <c r="Y63" s="49"/>
      <c r="Z63" s="48" t="e">
        <f>VLOOKUP($A63,#REF!,14,0)</f>
        <v>#REF!</v>
      </c>
      <c r="AA63" s="49"/>
    </row>
    <row r="64" spans="1:27" s="66" customFormat="1" ht="15.75" outlineLevel="1">
      <c r="A64" s="47" t="s">
        <v>12</v>
      </c>
      <c r="B64" s="48" t="e">
        <f>VLOOKUP($A64,#REF!,2,0)</f>
        <v>#REF!</v>
      </c>
      <c r="C64" s="49"/>
      <c r="D64" s="48" t="e">
        <f>VLOOKUP($A64,#REF!,3,0)</f>
        <v>#REF!</v>
      </c>
      <c r="E64" s="49"/>
      <c r="F64" s="48" t="e">
        <f>VLOOKUP($A64,#REF!,4,0)</f>
        <v>#REF!</v>
      </c>
      <c r="G64" s="49"/>
      <c r="H64" s="48" t="e">
        <f>VLOOKUP($A64,#REF!,5,0)</f>
        <v>#REF!</v>
      </c>
      <c r="I64" s="49"/>
      <c r="J64" s="48" t="e">
        <f>VLOOKUP($A64,#REF!,6,0)</f>
        <v>#REF!</v>
      </c>
      <c r="K64" s="49"/>
      <c r="L64" s="48" t="e">
        <f>VLOOKUP($A64,#REF!,7,0)</f>
        <v>#REF!</v>
      </c>
      <c r="M64" s="49"/>
      <c r="N64" s="48" t="e">
        <f>VLOOKUP($A64,#REF!,8,0)</f>
        <v>#REF!</v>
      </c>
      <c r="O64" s="49"/>
      <c r="P64" s="48" t="e">
        <f>VLOOKUP($A64,#REF!,9,0)</f>
        <v>#REF!</v>
      </c>
      <c r="Q64" s="49"/>
      <c r="R64" s="48" t="e">
        <f>VLOOKUP($A64,#REF!,10,0)</f>
        <v>#REF!</v>
      </c>
      <c r="S64" s="49"/>
      <c r="T64" s="48" t="e">
        <f>VLOOKUP($A64,#REF!,11,0)</f>
        <v>#REF!</v>
      </c>
      <c r="U64" s="49"/>
      <c r="V64" s="48" t="e">
        <f>VLOOKUP($A64,#REF!,12,0)</f>
        <v>#REF!</v>
      </c>
      <c r="W64" s="49"/>
      <c r="X64" s="48" t="e">
        <f>VLOOKUP($A64,#REF!,13,0)</f>
        <v>#REF!</v>
      </c>
      <c r="Y64" s="49"/>
      <c r="Z64" s="48" t="e">
        <f>VLOOKUP($A64,#REF!,14,0)</f>
        <v>#REF!</v>
      </c>
      <c r="AA64" s="49"/>
    </row>
    <row r="65" spans="1:27" ht="8.25" customHeight="1" thickBot="1"/>
    <row r="66" spans="1:27" ht="21.75" thickBot="1">
      <c r="A66" s="44" t="s">
        <v>441</v>
      </c>
      <c r="B66" s="45" t="e">
        <f>SUM(B67:B85)</f>
        <v>#REF!</v>
      </c>
      <c r="C66" s="46" t="e">
        <f>B66/B$10</f>
        <v>#REF!</v>
      </c>
      <c r="D66" s="45" t="e">
        <f>SUM(D67:D85)</f>
        <v>#REF!</v>
      </c>
      <c r="E66" s="46" t="e">
        <f>D66/D$10</f>
        <v>#REF!</v>
      </c>
      <c r="F66" s="45" t="e">
        <f>SUM(F67:F85)</f>
        <v>#REF!</v>
      </c>
      <c r="G66" s="46" t="e">
        <f>F66/F$10</f>
        <v>#REF!</v>
      </c>
      <c r="H66" s="45" t="e">
        <f>SUM(H67:H85)</f>
        <v>#REF!</v>
      </c>
      <c r="I66" s="46" t="e">
        <f>H66/H$10</f>
        <v>#REF!</v>
      </c>
      <c r="J66" s="45" t="e">
        <f>SUM(J67:J85)</f>
        <v>#REF!</v>
      </c>
      <c r="K66" s="46" t="e">
        <f>J66/J$10</f>
        <v>#REF!</v>
      </c>
      <c r="L66" s="45" t="e">
        <f>SUM(L67:L85)</f>
        <v>#REF!</v>
      </c>
      <c r="M66" s="46" t="e">
        <f>L66/L$10</f>
        <v>#REF!</v>
      </c>
      <c r="N66" s="45" t="e">
        <f>SUM(N67:N85)</f>
        <v>#REF!</v>
      </c>
      <c r="O66" s="46" t="e">
        <f>N66/N$10</f>
        <v>#REF!</v>
      </c>
      <c r="P66" s="45" t="e">
        <f>SUM(P67:P85)</f>
        <v>#REF!</v>
      </c>
      <c r="Q66" s="46" t="e">
        <f>P66/P$10</f>
        <v>#REF!</v>
      </c>
      <c r="R66" s="45" t="e">
        <f>SUM(R67:R85)</f>
        <v>#REF!</v>
      </c>
      <c r="S66" s="46" t="e">
        <f>R66/R$10</f>
        <v>#REF!</v>
      </c>
      <c r="T66" s="45" t="e">
        <f>SUM(T67:T85)</f>
        <v>#REF!</v>
      </c>
      <c r="U66" s="46" t="e">
        <f>T66/T$10</f>
        <v>#REF!</v>
      </c>
      <c r="V66" s="45" t="e">
        <f>SUM(V67:V85)</f>
        <v>#REF!</v>
      </c>
      <c r="W66" s="46" t="e">
        <f>V66/V$10</f>
        <v>#REF!</v>
      </c>
      <c r="X66" s="45" t="e">
        <f>SUM(X67:X85)</f>
        <v>#REF!</v>
      </c>
      <c r="Y66" s="46" t="e">
        <f>X66/X$10</f>
        <v>#REF!</v>
      </c>
      <c r="Z66" s="45" t="e">
        <f>SUM(Z67:Z85)</f>
        <v>#REF!</v>
      </c>
      <c r="AA66" s="46" t="e">
        <f>Z66/Z$10</f>
        <v>#REF!</v>
      </c>
    </row>
    <row r="67" spans="1:27" ht="15.75" outlineLevel="1">
      <c r="A67" s="47" t="s">
        <v>148</v>
      </c>
      <c r="B67" s="48" t="e">
        <f>VLOOKUP($A67,#REF!,2,0)</f>
        <v>#REF!</v>
      </c>
      <c r="C67" s="49"/>
      <c r="D67" s="48" t="e">
        <f>VLOOKUP($A67,#REF!,3,0)</f>
        <v>#REF!</v>
      </c>
      <c r="E67" s="49"/>
      <c r="F67" s="48" t="e">
        <f>VLOOKUP($A67,#REF!,4,0)</f>
        <v>#REF!</v>
      </c>
      <c r="G67" s="49"/>
      <c r="H67" s="48" t="e">
        <f>VLOOKUP($A67,#REF!,5,0)</f>
        <v>#REF!</v>
      </c>
      <c r="I67" s="49"/>
      <c r="J67" s="48" t="e">
        <f>VLOOKUP($A67,#REF!,6,0)</f>
        <v>#REF!</v>
      </c>
      <c r="K67" s="49"/>
      <c r="L67" s="48" t="e">
        <f>VLOOKUP($A67,#REF!,7,0)</f>
        <v>#REF!</v>
      </c>
      <c r="M67" s="49"/>
      <c r="N67" s="48" t="e">
        <f>VLOOKUP($A67,#REF!,8,0)</f>
        <v>#REF!</v>
      </c>
      <c r="O67" s="49"/>
      <c r="P67" s="48" t="e">
        <f>VLOOKUP($A67,#REF!,9,0)</f>
        <v>#REF!</v>
      </c>
      <c r="Q67" s="49"/>
      <c r="R67" s="48" t="e">
        <f>VLOOKUP($A67,#REF!,10,0)</f>
        <v>#REF!</v>
      </c>
      <c r="S67" s="49"/>
      <c r="T67" s="48" t="e">
        <f>VLOOKUP($A67,#REF!,11,0)</f>
        <v>#REF!</v>
      </c>
      <c r="U67" s="49"/>
      <c r="V67" s="48" t="e">
        <f>VLOOKUP($A67,#REF!,12,0)</f>
        <v>#REF!</v>
      </c>
      <c r="W67" s="49"/>
      <c r="X67" s="48" t="e">
        <f>VLOOKUP($A67,#REF!,13,0)</f>
        <v>#REF!</v>
      </c>
      <c r="Y67" s="49"/>
      <c r="Z67" s="48" t="e">
        <f>VLOOKUP($A67,#REF!,14,0)</f>
        <v>#REF!</v>
      </c>
      <c r="AA67" s="49"/>
    </row>
    <row r="68" spans="1:27" ht="15.75" outlineLevel="1">
      <c r="A68" s="47" t="s">
        <v>149</v>
      </c>
      <c r="B68" s="48" t="e">
        <f>VLOOKUP($A68,#REF!,2,0)</f>
        <v>#REF!</v>
      </c>
      <c r="C68" s="49"/>
      <c r="D68" s="48" t="e">
        <f>VLOOKUP($A68,#REF!,3,0)</f>
        <v>#REF!</v>
      </c>
      <c r="E68" s="49"/>
      <c r="F68" s="48" t="e">
        <f>VLOOKUP($A68,#REF!,4,0)</f>
        <v>#REF!</v>
      </c>
      <c r="G68" s="49"/>
      <c r="H68" s="48" t="e">
        <f>VLOOKUP($A68,#REF!,5,0)</f>
        <v>#REF!</v>
      </c>
      <c r="I68" s="49"/>
      <c r="J68" s="48" t="e">
        <f>VLOOKUP($A68,#REF!,6,0)</f>
        <v>#REF!</v>
      </c>
      <c r="K68" s="49"/>
      <c r="L68" s="48" t="e">
        <f>VLOOKUP($A68,#REF!,7,0)</f>
        <v>#REF!</v>
      </c>
      <c r="M68" s="49"/>
      <c r="N68" s="48" t="e">
        <f>VLOOKUP($A68,#REF!,8,0)</f>
        <v>#REF!</v>
      </c>
      <c r="O68" s="49"/>
      <c r="P68" s="48" t="e">
        <f>VLOOKUP($A68,#REF!,9,0)</f>
        <v>#REF!</v>
      </c>
      <c r="Q68" s="49"/>
      <c r="R68" s="48" t="e">
        <f>VLOOKUP($A68,#REF!,10,0)</f>
        <v>#REF!</v>
      </c>
      <c r="S68" s="49"/>
      <c r="T68" s="48" t="e">
        <f>VLOOKUP($A68,#REF!,11,0)</f>
        <v>#REF!</v>
      </c>
      <c r="U68" s="49"/>
      <c r="V68" s="48" t="e">
        <f>VLOOKUP($A68,#REF!,12,0)</f>
        <v>#REF!</v>
      </c>
      <c r="W68" s="49"/>
      <c r="X68" s="48" t="e">
        <f>VLOOKUP($A68,#REF!,13,0)</f>
        <v>#REF!</v>
      </c>
      <c r="Y68" s="49"/>
      <c r="Z68" s="48" t="e">
        <f>VLOOKUP($A68,#REF!,14,0)</f>
        <v>#REF!</v>
      </c>
      <c r="AA68" s="49"/>
    </row>
    <row r="69" spans="1:27" ht="15.75" outlineLevel="1">
      <c r="A69" s="47" t="s">
        <v>25</v>
      </c>
      <c r="B69" s="48" t="e">
        <f>VLOOKUP($A69,#REF!,2,0)</f>
        <v>#REF!</v>
      </c>
      <c r="C69" s="49"/>
      <c r="D69" s="48" t="e">
        <f>VLOOKUP($A69,#REF!,3,0)</f>
        <v>#REF!</v>
      </c>
      <c r="E69" s="49"/>
      <c r="F69" s="48" t="e">
        <f>VLOOKUP($A69,#REF!,4,0)</f>
        <v>#REF!</v>
      </c>
      <c r="G69" s="49"/>
      <c r="H69" s="48" t="e">
        <f>VLOOKUP($A69,#REF!,5,0)</f>
        <v>#REF!</v>
      </c>
      <c r="I69" s="49"/>
      <c r="J69" s="48" t="e">
        <f>VLOOKUP($A69,#REF!,6,0)</f>
        <v>#REF!</v>
      </c>
      <c r="K69" s="49"/>
      <c r="L69" s="48" t="e">
        <f>VLOOKUP($A69,#REF!,7,0)</f>
        <v>#REF!</v>
      </c>
      <c r="M69" s="49"/>
      <c r="N69" s="48" t="e">
        <f>VLOOKUP($A69,#REF!,8,0)</f>
        <v>#REF!</v>
      </c>
      <c r="O69" s="49"/>
      <c r="P69" s="48" t="e">
        <f>VLOOKUP($A69,#REF!,9,0)</f>
        <v>#REF!</v>
      </c>
      <c r="Q69" s="49"/>
      <c r="R69" s="48" t="e">
        <f>VLOOKUP($A69,#REF!,10,0)</f>
        <v>#REF!</v>
      </c>
      <c r="S69" s="49"/>
      <c r="T69" s="48" t="e">
        <f>VLOOKUP($A69,#REF!,11,0)</f>
        <v>#REF!</v>
      </c>
      <c r="U69" s="49"/>
      <c r="V69" s="48" t="e">
        <f>VLOOKUP($A69,#REF!,12,0)</f>
        <v>#REF!</v>
      </c>
      <c r="W69" s="49"/>
      <c r="X69" s="48" t="e">
        <f>VLOOKUP($A69,#REF!,13,0)</f>
        <v>#REF!</v>
      </c>
      <c r="Y69" s="49"/>
      <c r="Z69" s="48" t="e">
        <f>VLOOKUP($A69,#REF!,14,0)</f>
        <v>#REF!</v>
      </c>
      <c r="AA69" s="49"/>
    </row>
    <row r="70" spans="1:27" ht="15.75" outlineLevel="1">
      <c r="A70" s="47" t="s">
        <v>387</v>
      </c>
      <c r="B70" s="48" t="e">
        <f>VLOOKUP($A70,#REF!,2,0)</f>
        <v>#REF!</v>
      </c>
      <c r="C70" s="49"/>
      <c r="D70" s="48" t="e">
        <f>VLOOKUP($A70,#REF!,3,0)</f>
        <v>#REF!</v>
      </c>
      <c r="E70" s="49"/>
      <c r="F70" s="48" t="e">
        <f>VLOOKUP($A70,#REF!,4,0)</f>
        <v>#REF!</v>
      </c>
      <c r="G70" s="49"/>
      <c r="H70" s="48" t="e">
        <f>VLOOKUP($A70,#REF!,5,0)</f>
        <v>#REF!</v>
      </c>
      <c r="I70" s="49"/>
      <c r="J70" s="48" t="e">
        <f>VLOOKUP($A70,#REF!,6,0)</f>
        <v>#REF!</v>
      </c>
      <c r="K70" s="49"/>
      <c r="L70" s="48" t="e">
        <f>VLOOKUP($A70,#REF!,7,0)</f>
        <v>#REF!</v>
      </c>
      <c r="M70" s="49"/>
      <c r="N70" s="48" t="e">
        <f>VLOOKUP($A70,#REF!,8,0)</f>
        <v>#REF!</v>
      </c>
      <c r="O70" s="49"/>
      <c r="P70" s="48" t="e">
        <f>VLOOKUP($A70,#REF!,9,0)</f>
        <v>#REF!</v>
      </c>
      <c r="Q70" s="49"/>
      <c r="R70" s="48" t="e">
        <f>VLOOKUP($A70,#REF!,10,0)</f>
        <v>#REF!</v>
      </c>
      <c r="S70" s="49"/>
      <c r="T70" s="48" t="e">
        <f>VLOOKUP($A70,#REF!,11,0)</f>
        <v>#REF!</v>
      </c>
      <c r="U70" s="49"/>
      <c r="V70" s="48" t="e">
        <f>VLOOKUP($A70,#REF!,12,0)</f>
        <v>#REF!</v>
      </c>
      <c r="W70" s="49"/>
      <c r="X70" s="48" t="e">
        <f>VLOOKUP($A70,#REF!,13,0)</f>
        <v>#REF!</v>
      </c>
      <c r="Y70" s="49"/>
      <c r="Z70" s="48" t="e">
        <f>VLOOKUP($A70,#REF!,14,0)</f>
        <v>#REF!</v>
      </c>
      <c r="AA70" s="49"/>
    </row>
    <row r="71" spans="1:27" ht="15.75" outlineLevel="1">
      <c r="A71" s="47" t="s">
        <v>388</v>
      </c>
      <c r="B71" s="48" t="e">
        <f>VLOOKUP($A71,#REF!,2,0)</f>
        <v>#REF!</v>
      </c>
      <c r="C71" s="49"/>
      <c r="D71" s="48" t="e">
        <f>VLOOKUP($A71,#REF!,3,0)</f>
        <v>#REF!</v>
      </c>
      <c r="E71" s="49"/>
      <c r="F71" s="48" t="e">
        <f>VLOOKUP($A71,#REF!,4,0)</f>
        <v>#REF!</v>
      </c>
      <c r="G71" s="49"/>
      <c r="H71" s="48" t="e">
        <f>VLOOKUP($A71,#REF!,5,0)</f>
        <v>#REF!</v>
      </c>
      <c r="I71" s="49"/>
      <c r="J71" s="48" t="e">
        <f>VLOOKUP($A71,#REF!,6,0)</f>
        <v>#REF!</v>
      </c>
      <c r="K71" s="49"/>
      <c r="L71" s="48" t="e">
        <f>VLOOKUP($A71,#REF!,7,0)</f>
        <v>#REF!</v>
      </c>
      <c r="M71" s="49"/>
      <c r="N71" s="48" t="e">
        <f>VLOOKUP($A71,#REF!,8,0)</f>
        <v>#REF!</v>
      </c>
      <c r="O71" s="49"/>
      <c r="P71" s="48" t="e">
        <f>VLOOKUP($A71,#REF!,9,0)</f>
        <v>#REF!</v>
      </c>
      <c r="Q71" s="49"/>
      <c r="R71" s="48" t="e">
        <f>VLOOKUP($A71,#REF!,10,0)</f>
        <v>#REF!</v>
      </c>
      <c r="S71" s="49"/>
      <c r="T71" s="48" t="e">
        <f>VLOOKUP($A71,#REF!,11,0)</f>
        <v>#REF!</v>
      </c>
      <c r="U71" s="49"/>
      <c r="V71" s="48" t="e">
        <f>VLOOKUP($A71,#REF!,12,0)</f>
        <v>#REF!</v>
      </c>
      <c r="W71" s="49"/>
      <c r="X71" s="48" t="e">
        <f>VLOOKUP($A71,#REF!,13,0)</f>
        <v>#REF!</v>
      </c>
      <c r="Y71" s="49"/>
      <c r="Z71" s="48" t="e">
        <f>VLOOKUP($A71,#REF!,14,0)</f>
        <v>#REF!</v>
      </c>
      <c r="AA71" s="49"/>
    </row>
    <row r="72" spans="1:27" ht="15.75" outlineLevel="1">
      <c r="A72" s="47" t="s">
        <v>37</v>
      </c>
      <c r="B72" s="48" t="e">
        <f>VLOOKUP($A72,#REF!,2,0)</f>
        <v>#REF!</v>
      </c>
      <c r="C72" s="49"/>
      <c r="D72" s="48" t="e">
        <f>VLOOKUP($A72,#REF!,3,0)</f>
        <v>#REF!</v>
      </c>
      <c r="E72" s="49"/>
      <c r="F72" s="48" t="e">
        <f>VLOOKUP($A72,#REF!,4,0)</f>
        <v>#REF!</v>
      </c>
      <c r="G72" s="49"/>
      <c r="H72" s="48" t="e">
        <f>VLOOKUP($A72,#REF!,5,0)</f>
        <v>#REF!</v>
      </c>
      <c r="I72" s="49"/>
      <c r="J72" s="48" t="e">
        <f>VLOOKUP($A72,#REF!,6,0)</f>
        <v>#REF!</v>
      </c>
      <c r="K72" s="49"/>
      <c r="L72" s="48" t="e">
        <f>VLOOKUP($A72,#REF!,7,0)</f>
        <v>#REF!</v>
      </c>
      <c r="M72" s="49"/>
      <c r="N72" s="48" t="e">
        <f>VLOOKUP($A72,#REF!,8,0)</f>
        <v>#REF!</v>
      </c>
      <c r="O72" s="49"/>
      <c r="P72" s="48" t="e">
        <f>VLOOKUP($A72,#REF!,9,0)</f>
        <v>#REF!</v>
      </c>
      <c r="Q72" s="49"/>
      <c r="R72" s="48" t="e">
        <f>VLOOKUP($A72,#REF!,10,0)</f>
        <v>#REF!</v>
      </c>
      <c r="S72" s="49"/>
      <c r="T72" s="48" t="e">
        <f>VLOOKUP($A72,#REF!,11,0)</f>
        <v>#REF!</v>
      </c>
      <c r="U72" s="49"/>
      <c r="V72" s="48" t="e">
        <f>VLOOKUP($A72,#REF!,12,0)</f>
        <v>#REF!</v>
      </c>
      <c r="W72" s="49"/>
      <c r="X72" s="48" t="e">
        <f>VLOOKUP($A72,#REF!,13,0)</f>
        <v>#REF!</v>
      </c>
      <c r="Y72" s="49"/>
      <c r="Z72" s="48" t="e">
        <f>VLOOKUP($A72,#REF!,14,0)</f>
        <v>#REF!</v>
      </c>
      <c r="AA72" s="49"/>
    </row>
    <row r="73" spans="1:27" ht="15.75" outlineLevel="1">
      <c r="A73" s="47" t="s">
        <v>67</v>
      </c>
      <c r="B73" s="48" t="e">
        <f>VLOOKUP($A73,#REF!,2,0)</f>
        <v>#REF!</v>
      </c>
      <c r="C73" s="49"/>
      <c r="D73" s="48" t="e">
        <f>VLOOKUP($A73,#REF!,3,0)</f>
        <v>#REF!</v>
      </c>
      <c r="E73" s="49"/>
      <c r="F73" s="48" t="e">
        <f>VLOOKUP($A73,#REF!,4,0)</f>
        <v>#REF!</v>
      </c>
      <c r="G73" s="49"/>
      <c r="H73" s="48" t="e">
        <f>VLOOKUP($A73,#REF!,5,0)</f>
        <v>#REF!</v>
      </c>
      <c r="I73" s="49"/>
      <c r="J73" s="48" t="e">
        <f>VLOOKUP($A73,#REF!,6,0)</f>
        <v>#REF!</v>
      </c>
      <c r="K73" s="49"/>
      <c r="L73" s="48" t="e">
        <f>VLOOKUP($A73,#REF!,7,0)</f>
        <v>#REF!</v>
      </c>
      <c r="M73" s="49"/>
      <c r="N73" s="48" t="e">
        <f>VLOOKUP($A73,#REF!,8,0)</f>
        <v>#REF!</v>
      </c>
      <c r="O73" s="49"/>
      <c r="P73" s="48" t="e">
        <f>VLOOKUP($A73,#REF!,9,0)</f>
        <v>#REF!</v>
      </c>
      <c r="Q73" s="49"/>
      <c r="R73" s="48" t="e">
        <f>VLOOKUP($A73,#REF!,10,0)</f>
        <v>#REF!</v>
      </c>
      <c r="S73" s="49"/>
      <c r="T73" s="48" t="e">
        <f>VLOOKUP($A73,#REF!,11,0)</f>
        <v>#REF!</v>
      </c>
      <c r="U73" s="49"/>
      <c r="V73" s="48" t="e">
        <f>VLOOKUP($A73,#REF!,12,0)</f>
        <v>#REF!</v>
      </c>
      <c r="W73" s="49"/>
      <c r="X73" s="48" t="e">
        <f>VLOOKUP($A73,#REF!,13,0)</f>
        <v>#REF!</v>
      </c>
      <c r="Y73" s="49"/>
      <c r="Z73" s="48" t="e">
        <f>VLOOKUP($A73,#REF!,14,0)</f>
        <v>#REF!</v>
      </c>
      <c r="AA73" s="49"/>
    </row>
    <row r="74" spans="1:27" ht="15.75" outlineLevel="1">
      <c r="A74" s="47" t="s">
        <v>22</v>
      </c>
      <c r="B74" s="48">
        <v>0</v>
      </c>
      <c r="C74" s="49"/>
      <c r="D74" s="48">
        <v>0</v>
      </c>
      <c r="E74" s="49"/>
      <c r="F74" s="48">
        <v>0</v>
      </c>
      <c r="G74" s="49"/>
      <c r="H74" s="48">
        <v>0</v>
      </c>
      <c r="I74" s="49"/>
      <c r="J74" s="48">
        <v>0</v>
      </c>
      <c r="K74" s="49"/>
      <c r="L74" s="48">
        <v>0</v>
      </c>
      <c r="M74" s="49"/>
      <c r="N74" s="48">
        <v>0</v>
      </c>
      <c r="O74" s="49"/>
      <c r="P74" s="48">
        <v>0</v>
      </c>
      <c r="Q74" s="49"/>
      <c r="R74" s="48">
        <v>0</v>
      </c>
      <c r="S74" s="49"/>
      <c r="T74" s="48">
        <v>0</v>
      </c>
      <c r="U74" s="49"/>
      <c r="V74" s="48">
        <v>0</v>
      </c>
      <c r="W74" s="49"/>
      <c r="X74" s="48">
        <v>0</v>
      </c>
      <c r="Y74" s="49"/>
      <c r="Z74" s="48">
        <v>0</v>
      </c>
      <c r="AA74" s="49"/>
    </row>
    <row r="75" spans="1:27" ht="15.75" outlineLevel="1">
      <c r="A75" s="47" t="s">
        <v>138</v>
      </c>
      <c r="B75" s="48">
        <v>0</v>
      </c>
      <c r="C75" s="49"/>
      <c r="D75" s="48">
        <v>0</v>
      </c>
      <c r="E75" s="49"/>
      <c r="F75" s="48">
        <v>0</v>
      </c>
      <c r="G75" s="49"/>
      <c r="H75" s="48">
        <v>0</v>
      </c>
      <c r="I75" s="49"/>
      <c r="J75" s="48">
        <v>0</v>
      </c>
      <c r="K75" s="49"/>
      <c r="L75" s="48">
        <v>0</v>
      </c>
      <c r="M75" s="49"/>
      <c r="N75" s="48">
        <v>0</v>
      </c>
      <c r="O75" s="49"/>
      <c r="P75" s="48">
        <v>0</v>
      </c>
      <c r="Q75" s="49"/>
      <c r="R75" s="48">
        <v>0</v>
      </c>
      <c r="S75" s="49"/>
      <c r="T75" s="48">
        <v>0</v>
      </c>
      <c r="U75" s="49"/>
      <c r="V75" s="48">
        <v>0</v>
      </c>
      <c r="W75" s="49"/>
      <c r="X75" s="48">
        <v>0</v>
      </c>
      <c r="Y75" s="49"/>
      <c r="Z75" s="48">
        <v>0</v>
      </c>
      <c r="AA75" s="49"/>
    </row>
    <row r="76" spans="1:27" ht="15.75" outlineLevel="1">
      <c r="A76" s="47" t="s">
        <v>141</v>
      </c>
      <c r="B76" s="48">
        <v>0</v>
      </c>
      <c r="C76" s="49"/>
      <c r="D76" s="48">
        <v>0</v>
      </c>
      <c r="E76" s="49"/>
      <c r="F76" s="48">
        <v>0</v>
      </c>
      <c r="G76" s="49"/>
      <c r="H76" s="48">
        <v>0</v>
      </c>
      <c r="I76" s="49"/>
      <c r="J76" s="48">
        <v>0</v>
      </c>
      <c r="K76" s="49"/>
      <c r="L76" s="48">
        <v>0</v>
      </c>
      <c r="M76" s="49"/>
      <c r="N76" s="48">
        <v>0</v>
      </c>
      <c r="O76" s="49"/>
      <c r="P76" s="48">
        <v>0</v>
      </c>
      <c r="Q76" s="49"/>
      <c r="R76" s="48">
        <v>0</v>
      </c>
      <c r="S76" s="49"/>
      <c r="T76" s="48">
        <v>0</v>
      </c>
      <c r="U76" s="49"/>
      <c r="V76" s="48">
        <v>0</v>
      </c>
      <c r="W76" s="49"/>
      <c r="X76" s="48">
        <v>0</v>
      </c>
      <c r="Y76" s="49"/>
      <c r="Z76" s="48">
        <v>0</v>
      </c>
      <c r="AA76" s="49"/>
    </row>
    <row r="77" spans="1:27" ht="15.75" outlineLevel="1">
      <c r="A77" s="47" t="s">
        <v>27</v>
      </c>
      <c r="B77" s="48" t="e">
        <f>VLOOKUP($A77,#REF!,2,0)</f>
        <v>#REF!</v>
      </c>
      <c r="C77" s="49"/>
      <c r="D77" s="48" t="e">
        <f>VLOOKUP($A77,#REF!,3,0)</f>
        <v>#REF!</v>
      </c>
      <c r="E77" s="49"/>
      <c r="F77" s="48" t="e">
        <f>VLOOKUP($A77,#REF!,4,0)</f>
        <v>#REF!</v>
      </c>
      <c r="G77" s="49"/>
      <c r="H77" s="48" t="e">
        <f>VLOOKUP($A77,#REF!,5,0)</f>
        <v>#REF!</v>
      </c>
      <c r="I77" s="49"/>
      <c r="J77" s="48" t="e">
        <f>VLOOKUP($A77,#REF!,6,0)</f>
        <v>#REF!</v>
      </c>
      <c r="K77" s="49"/>
      <c r="L77" s="48" t="e">
        <f>VLOOKUP($A77,#REF!,7,0)</f>
        <v>#REF!</v>
      </c>
      <c r="M77" s="49"/>
      <c r="N77" s="48" t="e">
        <f>VLOOKUP($A77,#REF!,8,0)</f>
        <v>#REF!</v>
      </c>
      <c r="O77" s="49"/>
      <c r="P77" s="48" t="e">
        <f>VLOOKUP($A77,#REF!,9,0)</f>
        <v>#REF!</v>
      </c>
      <c r="Q77" s="49"/>
      <c r="R77" s="48" t="e">
        <f>VLOOKUP($A77,#REF!,10,0)</f>
        <v>#REF!</v>
      </c>
      <c r="S77" s="49"/>
      <c r="T77" s="48" t="e">
        <f>VLOOKUP($A77,#REF!,11,0)</f>
        <v>#REF!</v>
      </c>
      <c r="U77" s="49"/>
      <c r="V77" s="48" t="e">
        <f>VLOOKUP($A77,#REF!,12,0)</f>
        <v>#REF!</v>
      </c>
      <c r="W77" s="49"/>
      <c r="X77" s="48" t="e">
        <f>VLOOKUP($A77,#REF!,13,0)</f>
        <v>#REF!</v>
      </c>
      <c r="Y77" s="49"/>
      <c r="Z77" s="48" t="e">
        <f>VLOOKUP($A77,#REF!,14,0)</f>
        <v>#REF!</v>
      </c>
      <c r="AA77" s="49"/>
    </row>
    <row r="78" spans="1:27" ht="15.75" outlineLevel="1">
      <c r="A78" s="47" t="s">
        <v>18</v>
      </c>
      <c r="B78" s="48" t="e">
        <f>VLOOKUP($A78,#REF!,2,0)</f>
        <v>#REF!</v>
      </c>
      <c r="C78" s="49"/>
      <c r="D78" s="48" t="e">
        <f>VLOOKUP($A78,#REF!,3,0)</f>
        <v>#REF!</v>
      </c>
      <c r="E78" s="49"/>
      <c r="F78" s="48" t="e">
        <f>VLOOKUP($A78,#REF!,4,0)</f>
        <v>#REF!</v>
      </c>
      <c r="G78" s="49"/>
      <c r="H78" s="48" t="e">
        <f>VLOOKUP($A78,#REF!,5,0)</f>
        <v>#REF!</v>
      </c>
      <c r="I78" s="49"/>
      <c r="J78" s="48" t="e">
        <f>VLOOKUP($A78,#REF!,6,0)</f>
        <v>#REF!</v>
      </c>
      <c r="K78" s="49"/>
      <c r="L78" s="48" t="e">
        <f>VLOOKUP($A78,#REF!,7,0)</f>
        <v>#REF!</v>
      </c>
      <c r="M78" s="49"/>
      <c r="N78" s="48" t="e">
        <f>VLOOKUP($A78,#REF!,8,0)</f>
        <v>#REF!</v>
      </c>
      <c r="O78" s="49"/>
      <c r="P78" s="48" t="e">
        <f>VLOOKUP($A78,#REF!,9,0)</f>
        <v>#REF!</v>
      </c>
      <c r="Q78" s="49"/>
      <c r="R78" s="48" t="e">
        <f>VLOOKUP($A78,#REF!,10,0)</f>
        <v>#REF!</v>
      </c>
      <c r="S78" s="49"/>
      <c r="T78" s="48" t="e">
        <f>VLOOKUP($A78,#REF!,11,0)</f>
        <v>#REF!</v>
      </c>
      <c r="U78" s="49"/>
      <c r="V78" s="48" t="e">
        <f>VLOOKUP($A78,#REF!,12,0)</f>
        <v>#REF!</v>
      </c>
      <c r="W78" s="49"/>
      <c r="X78" s="48" t="e">
        <f>VLOOKUP($A78,#REF!,13,0)</f>
        <v>#REF!</v>
      </c>
      <c r="Y78" s="49"/>
      <c r="Z78" s="48" t="e">
        <f>VLOOKUP($A78,#REF!,14,0)</f>
        <v>#REF!</v>
      </c>
      <c r="AA78" s="49"/>
    </row>
    <row r="79" spans="1:27" ht="15.75" outlineLevel="1">
      <c r="A79" s="47" t="s">
        <v>55</v>
      </c>
      <c r="B79" s="48" t="e">
        <f>VLOOKUP($A79,#REF!,2,0)</f>
        <v>#REF!</v>
      </c>
      <c r="C79" s="49"/>
      <c r="D79" s="48" t="e">
        <f>VLOOKUP($A79,#REF!,3,0)</f>
        <v>#REF!</v>
      </c>
      <c r="E79" s="49"/>
      <c r="F79" s="48" t="e">
        <f>VLOOKUP($A79,#REF!,4,0)</f>
        <v>#REF!</v>
      </c>
      <c r="G79" s="49"/>
      <c r="H79" s="48" t="e">
        <f>VLOOKUP($A79,#REF!,5,0)</f>
        <v>#REF!</v>
      </c>
      <c r="I79" s="49"/>
      <c r="J79" s="48" t="e">
        <f>VLOOKUP($A79,#REF!,6,0)</f>
        <v>#REF!</v>
      </c>
      <c r="K79" s="49"/>
      <c r="L79" s="48" t="e">
        <f>VLOOKUP($A79,#REF!,7,0)</f>
        <v>#REF!</v>
      </c>
      <c r="M79" s="49"/>
      <c r="N79" s="48" t="e">
        <f>VLOOKUP($A79,#REF!,8,0)</f>
        <v>#REF!</v>
      </c>
      <c r="O79" s="49"/>
      <c r="P79" s="48" t="e">
        <f>VLOOKUP($A79,#REF!,9,0)</f>
        <v>#REF!</v>
      </c>
      <c r="Q79" s="49"/>
      <c r="R79" s="48" t="e">
        <f>VLOOKUP($A79,#REF!,10,0)</f>
        <v>#REF!</v>
      </c>
      <c r="S79" s="49"/>
      <c r="T79" s="48" t="e">
        <f>VLOOKUP($A79,#REF!,11,0)</f>
        <v>#REF!</v>
      </c>
      <c r="U79" s="49"/>
      <c r="V79" s="48" t="e">
        <f>VLOOKUP($A79,#REF!,12,0)</f>
        <v>#REF!</v>
      </c>
      <c r="W79" s="49"/>
      <c r="X79" s="48" t="e">
        <f>VLOOKUP($A79,#REF!,13,0)</f>
        <v>#REF!</v>
      </c>
      <c r="Y79" s="49"/>
      <c r="Z79" s="48" t="e">
        <f>VLOOKUP($A79,#REF!,14,0)</f>
        <v>#REF!</v>
      </c>
      <c r="AA79" s="49"/>
    </row>
    <row r="80" spans="1:27" ht="15.75" outlineLevel="1">
      <c r="A80" s="47" t="s">
        <v>45</v>
      </c>
      <c r="B80" s="48" t="e">
        <f>VLOOKUP($A80,#REF!,2,0)</f>
        <v>#REF!</v>
      </c>
      <c r="C80" s="49"/>
      <c r="D80" s="48" t="e">
        <f>VLOOKUP($A80,#REF!,3,0)</f>
        <v>#REF!</v>
      </c>
      <c r="E80" s="49"/>
      <c r="F80" s="48" t="e">
        <f>VLOOKUP($A80,#REF!,4,0)</f>
        <v>#REF!</v>
      </c>
      <c r="G80" s="49"/>
      <c r="H80" s="48" t="e">
        <f>VLOOKUP($A80,#REF!,5,0)</f>
        <v>#REF!</v>
      </c>
      <c r="I80" s="49"/>
      <c r="J80" s="48" t="e">
        <f>VLOOKUP($A80,#REF!,6,0)</f>
        <v>#REF!</v>
      </c>
      <c r="K80" s="49"/>
      <c r="L80" s="48" t="e">
        <f>VLOOKUP($A80,#REF!,7,0)</f>
        <v>#REF!</v>
      </c>
      <c r="M80" s="49"/>
      <c r="N80" s="48" t="e">
        <f>VLOOKUP($A80,#REF!,8,0)</f>
        <v>#REF!</v>
      </c>
      <c r="O80" s="49"/>
      <c r="P80" s="48" t="e">
        <f>VLOOKUP($A80,#REF!,9,0)</f>
        <v>#REF!</v>
      </c>
      <c r="Q80" s="49"/>
      <c r="R80" s="48" t="e">
        <f>VLOOKUP($A80,#REF!,10,0)</f>
        <v>#REF!</v>
      </c>
      <c r="S80" s="49"/>
      <c r="T80" s="48" t="e">
        <f>VLOOKUP($A80,#REF!,11,0)</f>
        <v>#REF!</v>
      </c>
      <c r="U80" s="49"/>
      <c r="V80" s="48" t="e">
        <f>VLOOKUP($A80,#REF!,12,0)</f>
        <v>#REF!</v>
      </c>
      <c r="W80" s="49"/>
      <c r="X80" s="48" t="e">
        <f>VLOOKUP($A80,#REF!,13,0)</f>
        <v>#REF!</v>
      </c>
      <c r="Y80" s="49"/>
      <c r="Z80" s="48" t="e">
        <f>VLOOKUP($A80,#REF!,14,0)</f>
        <v>#REF!</v>
      </c>
      <c r="AA80" s="49"/>
    </row>
    <row r="81" spans="1:27" ht="15.75" outlineLevel="1">
      <c r="A81" s="47" t="s">
        <v>29</v>
      </c>
      <c r="B81" s="48" t="e">
        <f>VLOOKUP($A81,#REF!,2,0)</f>
        <v>#REF!</v>
      </c>
      <c r="C81" s="49"/>
      <c r="D81" s="48" t="e">
        <f>VLOOKUP($A81,#REF!,3,0)</f>
        <v>#REF!</v>
      </c>
      <c r="E81" s="49"/>
      <c r="F81" s="48" t="e">
        <f>VLOOKUP($A81,#REF!,4,0)</f>
        <v>#REF!</v>
      </c>
      <c r="G81" s="49"/>
      <c r="H81" s="48" t="e">
        <f>VLOOKUP($A81,#REF!,5,0)</f>
        <v>#REF!</v>
      </c>
      <c r="I81" s="49"/>
      <c r="J81" s="48" t="e">
        <f>VLOOKUP($A81,#REF!,6,0)</f>
        <v>#REF!</v>
      </c>
      <c r="K81" s="49"/>
      <c r="L81" s="48" t="e">
        <f>VLOOKUP($A81,#REF!,7,0)</f>
        <v>#REF!</v>
      </c>
      <c r="M81" s="49"/>
      <c r="N81" s="48" t="e">
        <f>VLOOKUP($A81,#REF!,8,0)</f>
        <v>#REF!</v>
      </c>
      <c r="O81" s="49"/>
      <c r="P81" s="48" t="e">
        <f>VLOOKUP($A81,#REF!,9,0)</f>
        <v>#REF!</v>
      </c>
      <c r="Q81" s="49"/>
      <c r="R81" s="48" t="e">
        <f>VLOOKUP($A81,#REF!,10,0)</f>
        <v>#REF!</v>
      </c>
      <c r="S81" s="49"/>
      <c r="T81" s="48" t="e">
        <f>VLOOKUP($A81,#REF!,11,0)</f>
        <v>#REF!</v>
      </c>
      <c r="U81" s="49"/>
      <c r="V81" s="48" t="e">
        <f>VLOOKUP($A81,#REF!,12,0)</f>
        <v>#REF!</v>
      </c>
      <c r="W81" s="49"/>
      <c r="X81" s="48" t="e">
        <f>VLOOKUP($A81,#REF!,13,0)</f>
        <v>#REF!</v>
      </c>
      <c r="Y81" s="49"/>
      <c r="Z81" s="48" t="e">
        <f>VLOOKUP($A81,#REF!,14,0)</f>
        <v>#REF!</v>
      </c>
      <c r="AA81" s="49"/>
    </row>
    <row r="82" spans="1:27" ht="15.75" outlineLevel="1">
      <c r="A82" s="47" t="s">
        <v>153</v>
      </c>
      <c r="B82" s="48" t="e">
        <f>VLOOKUP($A82,#REF!,2,0)</f>
        <v>#REF!</v>
      </c>
      <c r="C82" s="49"/>
      <c r="D82" s="48" t="e">
        <f>VLOOKUP($A82,#REF!,3,0)</f>
        <v>#REF!</v>
      </c>
      <c r="E82" s="49"/>
      <c r="F82" s="48" t="e">
        <f>VLOOKUP($A82,#REF!,4,0)</f>
        <v>#REF!</v>
      </c>
      <c r="G82" s="49"/>
      <c r="H82" s="48" t="e">
        <f>VLOOKUP($A82,#REF!,5,0)</f>
        <v>#REF!</v>
      </c>
      <c r="I82" s="49"/>
      <c r="J82" s="48" t="e">
        <f>VLOOKUP($A82,#REF!,6,0)</f>
        <v>#REF!</v>
      </c>
      <c r="K82" s="49"/>
      <c r="L82" s="48" t="e">
        <f>VLOOKUP($A82,#REF!,7,0)</f>
        <v>#REF!</v>
      </c>
      <c r="M82" s="49"/>
      <c r="N82" s="48" t="e">
        <f>VLOOKUP($A82,#REF!,8,0)</f>
        <v>#REF!</v>
      </c>
      <c r="O82" s="49"/>
      <c r="P82" s="48" t="e">
        <f>VLOOKUP($A82,#REF!,9,0)</f>
        <v>#REF!</v>
      </c>
      <c r="Q82" s="49"/>
      <c r="R82" s="48" t="e">
        <f>VLOOKUP($A82,#REF!,10,0)</f>
        <v>#REF!</v>
      </c>
      <c r="S82" s="49"/>
      <c r="T82" s="48" t="e">
        <f>VLOOKUP($A82,#REF!,11,0)</f>
        <v>#REF!</v>
      </c>
      <c r="U82" s="49"/>
      <c r="V82" s="48" t="e">
        <f>VLOOKUP($A82,#REF!,12,0)</f>
        <v>#REF!</v>
      </c>
      <c r="W82" s="49"/>
      <c r="X82" s="48" t="e">
        <f>VLOOKUP($A82,#REF!,13,0)</f>
        <v>#REF!</v>
      </c>
      <c r="Y82" s="49"/>
      <c r="Z82" s="48" t="e">
        <f>VLOOKUP($A82,#REF!,14,0)</f>
        <v>#REF!</v>
      </c>
      <c r="AA82" s="49"/>
    </row>
    <row r="83" spans="1:27" ht="15.75" outlineLevel="1">
      <c r="A83" s="47" t="s">
        <v>338</v>
      </c>
      <c r="B83" s="48" t="e">
        <f>VLOOKUP($A83,#REF!,2,0)</f>
        <v>#REF!</v>
      </c>
      <c r="C83" s="49"/>
      <c r="D83" s="48" t="e">
        <f>VLOOKUP($A83,#REF!,3,0)</f>
        <v>#REF!</v>
      </c>
      <c r="E83" s="49"/>
      <c r="F83" s="48" t="e">
        <f>VLOOKUP($A83,#REF!,4,0)</f>
        <v>#REF!</v>
      </c>
      <c r="G83" s="49"/>
      <c r="H83" s="48" t="e">
        <f>VLOOKUP($A83,#REF!,5,0)</f>
        <v>#REF!</v>
      </c>
      <c r="I83" s="49"/>
      <c r="J83" s="48" t="e">
        <f>VLOOKUP($A83,#REF!,6,0)</f>
        <v>#REF!</v>
      </c>
      <c r="K83" s="49"/>
      <c r="L83" s="48" t="e">
        <f>VLOOKUP($A83,#REF!,7,0)</f>
        <v>#REF!</v>
      </c>
      <c r="M83" s="49"/>
      <c r="N83" s="48" t="e">
        <f>VLOOKUP($A83,#REF!,8,0)</f>
        <v>#REF!</v>
      </c>
      <c r="O83" s="49"/>
      <c r="P83" s="48" t="e">
        <f>VLOOKUP($A83,#REF!,9,0)</f>
        <v>#REF!</v>
      </c>
      <c r="Q83" s="49"/>
      <c r="R83" s="48" t="e">
        <f>VLOOKUP($A83,#REF!,10,0)</f>
        <v>#REF!</v>
      </c>
      <c r="S83" s="49"/>
      <c r="T83" s="48" t="e">
        <f>VLOOKUP($A83,#REF!,11,0)</f>
        <v>#REF!</v>
      </c>
      <c r="U83" s="49"/>
      <c r="V83" s="48" t="e">
        <f>VLOOKUP($A83,#REF!,12,0)</f>
        <v>#REF!</v>
      </c>
      <c r="W83" s="49"/>
      <c r="X83" s="48" t="e">
        <f>VLOOKUP($A83,#REF!,13,0)</f>
        <v>#REF!</v>
      </c>
      <c r="Y83" s="49"/>
      <c r="Z83" s="48" t="e">
        <f>VLOOKUP($A83,#REF!,14,0)</f>
        <v>#REF!</v>
      </c>
      <c r="AA83" s="49"/>
    </row>
    <row r="84" spans="1:27" ht="15.75" outlineLevel="1">
      <c r="A84" s="47" t="s">
        <v>10</v>
      </c>
      <c r="B84" s="48" t="e">
        <f>VLOOKUP($A84,#REF!,2,0)</f>
        <v>#REF!</v>
      </c>
      <c r="C84" s="49"/>
      <c r="D84" s="48" t="e">
        <f>VLOOKUP($A84,#REF!,3,0)</f>
        <v>#REF!</v>
      </c>
      <c r="E84" s="49"/>
      <c r="F84" s="48" t="e">
        <f>VLOOKUP($A84,#REF!,4,0)</f>
        <v>#REF!</v>
      </c>
      <c r="G84" s="49"/>
      <c r="H84" s="48" t="e">
        <f>VLOOKUP($A84,#REF!,5,0)</f>
        <v>#REF!</v>
      </c>
      <c r="I84" s="49"/>
      <c r="J84" s="48" t="e">
        <f>VLOOKUP($A84,#REF!,6,0)</f>
        <v>#REF!</v>
      </c>
      <c r="K84" s="49"/>
      <c r="L84" s="48" t="e">
        <f>VLOOKUP($A84,#REF!,7,0)</f>
        <v>#REF!</v>
      </c>
      <c r="M84" s="49"/>
      <c r="N84" s="48" t="e">
        <f>VLOOKUP($A84,#REF!,8,0)</f>
        <v>#REF!</v>
      </c>
      <c r="O84" s="49"/>
      <c r="P84" s="48" t="e">
        <f>VLOOKUP($A84,#REF!,9,0)</f>
        <v>#REF!</v>
      </c>
      <c r="Q84" s="49"/>
      <c r="R84" s="48" t="e">
        <f>VLOOKUP($A84,#REF!,10,0)</f>
        <v>#REF!</v>
      </c>
      <c r="S84" s="49"/>
      <c r="T84" s="48" t="e">
        <f>VLOOKUP($A84,#REF!,11,0)</f>
        <v>#REF!</v>
      </c>
      <c r="U84" s="49"/>
      <c r="V84" s="48" t="e">
        <f>VLOOKUP($A84,#REF!,12,0)</f>
        <v>#REF!</v>
      </c>
      <c r="W84" s="49"/>
      <c r="X84" s="48" t="e">
        <f>VLOOKUP($A84,#REF!,13,0)</f>
        <v>#REF!</v>
      </c>
      <c r="Y84" s="49"/>
      <c r="Z84" s="48" t="e">
        <f>VLOOKUP($A84,#REF!,14,0)</f>
        <v>#REF!</v>
      </c>
      <c r="AA84" s="49"/>
    </row>
    <row r="85" spans="1:27" ht="15.75" outlineLevel="1">
      <c r="A85" s="47" t="s">
        <v>12</v>
      </c>
      <c r="B85" s="48" t="e">
        <f>VLOOKUP($A85,#REF!,2,0)</f>
        <v>#REF!</v>
      </c>
      <c r="C85" s="49"/>
      <c r="D85" s="48" t="e">
        <f>VLOOKUP($A85,#REF!,3,0)</f>
        <v>#REF!</v>
      </c>
      <c r="E85" s="49"/>
      <c r="F85" s="48" t="e">
        <f>VLOOKUP($A85,#REF!,4,0)</f>
        <v>#REF!</v>
      </c>
      <c r="G85" s="49"/>
      <c r="H85" s="48" t="e">
        <f>VLOOKUP($A85,#REF!,5,0)</f>
        <v>#REF!</v>
      </c>
      <c r="I85" s="49"/>
      <c r="J85" s="48" t="e">
        <f>VLOOKUP($A85,#REF!,6,0)</f>
        <v>#REF!</v>
      </c>
      <c r="K85" s="49"/>
      <c r="L85" s="48" t="e">
        <f>VLOOKUP($A85,#REF!,7,0)</f>
        <v>#REF!</v>
      </c>
      <c r="M85" s="49"/>
      <c r="N85" s="48" t="e">
        <f>VLOOKUP($A85,#REF!,8,0)</f>
        <v>#REF!</v>
      </c>
      <c r="O85" s="49"/>
      <c r="P85" s="48" t="e">
        <f>VLOOKUP($A85,#REF!,9,0)</f>
        <v>#REF!</v>
      </c>
      <c r="Q85" s="49"/>
      <c r="R85" s="48" t="e">
        <f>VLOOKUP($A85,#REF!,10,0)</f>
        <v>#REF!</v>
      </c>
      <c r="S85" s="49"/>
      <c r="T85" s="48" t="e">
        <f>VLOOKUP($A85,#REF!,11,0)</f>
        <v>#REF!</v>
      </c>
      <c r="U85" s="49"/>
      <c r="V85" s="48" t="e">
        <f>VLOOKUP($A85,#REF!,12,0)</f>
        <v>#REF!</v>
      </c>
      <c r="W85" s="49"/>
      <c r="X85" s="48" t="e">
        <f>VLOOKUP($A85,#REF!,13,0)</f>
        <v>#REF!</v>
      </c>
      <c r="Y85" s="49"/>
      <c r="Z85" s="48" t="e">
        <f>VLOOKUP($A85,#REF!,14,0)</f>
        <v>#REF!</v>
      </c>
      <c r="AA85" s="49"/>
    </row>
    <row r="86" spans="1:27" ht="8.25" customHeight="1" thickBot="1">
      <c r="C86" s="51"/>
      <c r="E86" s="51"/>
      <c r="G86" s="51"/>
      <c r="I86" s="51"/>
      <c r="K86" s="51"/>
      <c r="M86" s="51"/>
      <c r="O86" s="51"/>
      <c r="Q86" s="51"/>
      <c r="S86" s="51"/>
      <c r="U86" s="51"/>
      <c r="W86" s="51"/>
      <c r="Y86" s="51"/>
      <c r="AA86" s="51"/>
    </row>
    <row r="87" spans="1:27" ht="21.75" thickBot="1">
      <c r="A87" s="44" t="s">
        <v>438</v>
      </c>
      <c r="B87" s="45" t="e">
        <f>SUM(B88:B97)</f>
        <v>#REF!</v>
      </c>
      <c r="C87" s="46" t="e">
        <f>B87/B$10</f>
        <v>#REF!</v>
      </c>
      <c r="D87" s="45" t="e">
        <f>SUM(D88:D97)</f>
        <v>#REF!</v>
      </c>
      <c r="E87" s="46" t="e">
        <f>D87/D$10</f>
        <v>#REF!</v>
      </c>
      <c r="F87" s="45" t="e">
        <f>SUM(F88:F97)</f>
        <v>#REF!</v>
      </c>
      <c r="G87" s="46" t="e">
        <f>F87/F$10</f>
        <v>#REF!</v>
      </c>
      <c r="H87" s="45" t="e">
        <f>SUM(H88:H97)</f>
        <v>#REF!</v>
      </c>
      <c r="I87" s="46" t="e">
        <f>H87/H$10</f>
        <v>#REF!</v>
      </c>
      <c r="J87" s="45" t="e">
        <f>SUM(J88:J97)</f>
        <v>#REF!</v>
      </c>
      <c r="K87" s="46" t="e">
        <f>J87/J$10</f>
        <v>#REF!</v>
      </c>
      <c r="L87" s="45" t="e">
        <f>SUM(L88:L97)</f>
        <v>#REF!</v>
      </c>
      <c r="M87" s="46" t="e">
        <f>L87/L$10</f>
        <v>#REF!</v>
      </c>
      <c r="N87" s="45" t="e">
        <f>SUM(N88:N97)</f>
        <v>#REF!</v>
      </c>
      <c r="O87" s="46" t="e">
        <f>N87/N$10</f>
        <v>#REF!</v>
      </c>
      <c r="P87" s="45" t="e">
        <f>SUM(P88:P97)</f>
        <v>#REF!</v>
      </c>
      <c r="Q87" s="46" t="e">
        <f>P87/P$10</f>
        <v>#REF!</v>
      </c>
      <c r="R87" s="45" t="e">
        <f>SUM(R88:R97)</f>
        <v>#REF!</v>
      </c>
      <c r="S87" s="46" t="e">
        <f>R87/R$10</f>
        <v>#REF!</v>
      </c>
      <c r="T87" s="45" t="e">
        <f>SUM(T88:T97)</f>
        <v>#REF!</v>
      </c>
      <c r="U87" s="46" t="e">
        <f>T87/T$10</f>
        <v>#REF!</v>
      </c>
      <c r="V87" s="45" t="e">
        <f>SUM(V88:V97)</f>
        <v>#REF!</v>
      </c>
      <c r="W87" s="46" t="e">
        <f>V87/V$10</f>
        <v>#REF!</v>
      </c>
      <c r="X87" s="45" t="e">
        <f>SUM(X88:X97)</f>
        <v>#REF!</v>
      </c>
      <c r="Y87" s="46" t="e">
        <f>X87/X$10</f>
        <v>#REF!</v>
      </c>
      <c r="Z87" s="45" t="e">
        <f>SUM(Z88:Z97)</f>
        <v>#REF!</v>
      </c>
      <c r="AA87" s="46" t="e">
        <f>Z87/Z$10</f>
        <v>#REF!</v>
      </c>
    </row>
    <row r="88" spans="1:27" ht="15.75" outlineLevel="1">
      <c r="A88" s="47" t="s">
        <v>148</v>
      </c>
      <c r="B88" s="48" t="e">
        <f>VLOOKUP($A88,#REF!,2,0)</f>
        <v>#REF!</v>
      </c>
      <c r="C88" s="49"/>
      <c r="D88" s="48" t="e">
        <f>VLOOKUP($A88,#REF!,3,0)</f>
        <v>#REF!</v>
      </c>
      <c r="E88" s="49"/>
      <c r="F88" s="48" t="e">
        <f>VLOOKUP($A88,#REF!,4,0)</f>
        <v>#REF!</v>
      </c>
      <c r="G88" s="49"/>
      <c r="H88" s="48" t="e">
        <f>VLOOKUP($A88,#REF!,5,0)</f>
        <v>#REF!</v>
      </c>
      <c r="I88" s="49"/>
      <c r="J88" s="48" t="e">
        <f>VLOOKUP($A88,#REF!,6,0)</f>
        <v>#REF!</v>
      </c>
      <c r="K88" s="49"/>
      <c r="L88" s="48" t="e">
        <f>VLOOKUP($A88,#REF!,7,0)</f>
        <v>#REF!</v>
      </c>
      <c r="M88" s="49"/>
      <c r="N88" s="48" t="e">
        <f>VLOOKUP($A88,#REF!,8,0)</f>
        <v>#REF!</v>
      </c>
      <c r="O88" s="49"/>
      <c r="P88" s="48" t="e">
        <f>VLOOKUP($A88,#REF!,9,0)</f>
        <v>#REF!</v>
      </c>
      <c r="Q88" s="49"/>
      <c r="R88" s="48" t="e">
        <f>VLOOKUP($A88,#REF!,10,0)</f>
        <v>#REF!</v>
      </c>
      <c r="S88" s="49"/>
      <c r="T88" s="48" t="e">
        <f>VLOOKUP($A88,#REF!,11,0)</f>
        <v>#REF!</v>
      </c>
      <c r="U88" s="49"/>
      <c r="V88" s="48" t="e">
        <f>VLOOKUP($A88,#REF!,12,0)</f>
        <v>#REF!</v>
      </c>
      <c r="W88" s="49"/>
      <c r="X88" s="48" t="e">
        <f>VLOOKUP($A88,#REF!,13,0)</f>
        <v>#REF!</v>
      </c>
      <c r="Y88" s="49"/>
      <c r="Z88" s="48" t="e">
        <f>VLOOKUP($A88,#REF!,14,0)</f>
        <v>#REF!</v>
      </c>
      <c r="AA88" s="49"/>
    </row>
    <row r="89" spans="1:27" ht="15.75" outlineLevel="1">
      <c r="A89" s="47" t="s">
        <v>37</v>
      </c>
      <c r="B89" s="48" t="e">
        <f>VLOOKUP($A89,#REF!,2,0)</f>
        <v>#REF!</v>
      </c>
      <c r="C89" s="49"/>
      <c r="D89" s="48" t="e">
        <f>VLOOKUP($A89,#REF!,3,0)</f>
        <v>#REF!</v>
      </c>
      <c r="E89" s="49"/>
      <c r="F89" s="48" t="e">
        <f>VLOOKUP($A89,#REF!,4,0)</f>
        <v>#REF!</v>
      </c>
      <c r="G89" s="49"/>
      <c r="H89" s="48" t="e">
        <f>VLOOKUP($A89,#REF!,5,0)</f>
        <v>#REF!</v>
      </c>
      <c r="I89" s="49"/>
      <c r="J89" s="48" t="e">
        <f>VLOOKUP($A89,#REF!,6,0)</f>
        <v>#REF!</v>
      </c>
      <c r="K89" s="49"/>
      <c r="L89" s="48" t="e">
        <f>VLOOKUP($A89,#REF!,7,0)</f>
        <v>#REF!</v>
      </c>
      <c r="M89" s="49"/>
      <c r="N89" s="48" t="e">
        <f>VLOOKUP($A89,#REF!,8,0)</f>
        <v>#REF!</v>
      </c>
      <c r="O89" s="49"/>
      <c r="P89" s="48" t="e">
        <f>VLOOKUP($A89,#REF!,9,0)</f>
        <v>#REF!</v>
      </c>
      <c r="Q89" s="49"/>
      <c r="R89" s="48" t="e">
        <f>VLOOKUP($A89,#REF!,10,0)</f>
        <v>#REF!</v>
      </c>
      <c r="S89" s="49"/>
      <c r="T89" s="48" t="e">
        <f>VLOOKUP($A89,#REF!,11,0)</f>
        <v>#REF!</v>
      </c>
      <c r="U89" s="49"/>
      <c r="V89" s="48" t="e">
        <f>VLOOKUP($A89,#REF!,12,0)</f>
        <v>#REF!</v>
      </c>
      <c r="W89" s="49"/>
      <c r="X89" s="48" t="e">
        <f>VLOOKUP($A89,#REF!,13,0)</f>
        <v>#REF!</v>
      </c>
      <c r="Y89" s="49"/>
      <c r="Z89" s="48" t="e">
        <f>VLOOKUP($A89,#REF!,14,0)</f>
        <v>#REF!</v>
      </c>
      <c r="AA89" s="49"/>
    </row>
    <row r="90" spans="1:27" ht="15.75" outlineLevel="1">
      <c r="A90" s="47" t="s">
        <v>412</v>
      </c>
      <c r="B90" s="48" t="e">
        <f>VLOOKUP($A90,#REF!,2,0)</f>
        <v>#REF!</v>
      </c>
      <c r="C90" s="49"/>
      <c r="D90" s="48" t="e">
        <f>VLOOKUP($A90,#REF!,3,0)</f>
        <v>#REF!</v>
      </c>
      <c r="E90" s="49"/>
      <c r="F90" s="48" t="e">
        <f>VLOOKUP($A90,#REF!,4,0)</f>
        <v>#REF!</v>
      </c>
      <c r="G90" s="49"/>
      <c r="H90" s="48" t="e">
        <f>VLOOKUP($A90,#REF!,5,0)</f>
        <v>#REF!</v>
      </c>
      <c r="I90" s="49"/>
      <c r="J90" s="48" t="e">
        <f>VLOOKUP($A90,#REF!,6,0)</f>
        <v>#REF!</v>
      </c>
      <c r="K90" s="49"/>
      <c r="L90" s="48" t="e">
        <f>VLOOKUP($A90,#REF!,7,0)</f>
        <v>#REF!</v>
      </c>
      <c r="M90" s="49"/>
      <c r="N90" s="48" t="e">
        <f>VLOOKUP($A90,#REF!,8,0)</f>
        <v>#REF!</v>
      </c>
      <c r="O90" s="49"/>
      <c r="P90" s="48" t="e">
        <f>VLOOKUP($A90,#REF!,9,0)</f>
        <v>#REF!</v>
      </c>
      <c r="Q90" s="49"/>
      <c r="R90" s="48" t="e">
        <f>VLOOKUP($A90,#REF!,10,0)</f>
        <v>#REF!</v>
      </c>
      <c r="S90" s="49"/>
      <c r="T90" s="48" t="e">
        <f>VLOOKUP($A90,#REF!,11,0)</f>
        <v>#REF!</v>
      </c>
      <c r="U90" s="49"/>
      <c r="V90" s="48" t="e">
        <f>VLOOKUP($A90,#REF!,12,0)</f>
        <v>#REF!</v>
      </c>
      <c r="W90" s="49"/>
      <c r="X90" s="48" t="e">
        <f>VLOOKUP($A90,#REF!,13,0)</f>
        <v>#REF!</v>
      </c>
      <c r="Y90" s="49"/>
      <c r="Z90" s="48" t="e">
        <f>VLOOKUP($A90,#REF!,14,0)</f>
        <v>#REF!</v>
      </c>
      <c r="AA90" s="49"/>
    </row>
    <row r="91" spans="1:27" ht="15.75" outlineLevel="1">
      <c r="A91" s="47" t="s">
        <v>27</v>
      </c>
      <c r="B91" s="48" t="e">
        <f>VLOOKUP($A91,#REF!,2,0)</f>
        <v>#REF!</v>
      </c>
      <c r="C91" s="49"/>
      <c r="D91" s="48" t="e">
        <f>VLOOKUP($A91,#REF!,3,0)</f>
        <v>#REF!</v>
      </c>
      <c r="E91" s="49"/>
      <c r="F91" s="48" t="e">
        <f>VLOOKUP($A91,#REF!,4,0)</f>
        <v>#REF!</v>
      </c>
      <c r="G91" s="49"/>
      <c r="H91" s="48" t="e">
        <f>VLOOKUP($A91,#REF!,5,0)</f>
        <v>#REF!</v>
      </c>
      <c r="I91" s="49"/>
      <c r="J91" s="48" t="e">
        <f>VLOOKUP($A91,#REF!,6,0)</f>
        <v>#REF!</v>
      </c>
      <c r="K91" s="49"/>
      <c r="L91" s="48" t="e">
        <f>VLOOKUP($A91,#REF!,7,0)</f>
        <v>#REF!</v>
      </c>
      <c r="M91" s="49"/>
      <c r="N91" s="48" t="e">
        <f>VLOOKUP($A91,#REF!,8,0)</f>
        <v>#REF!</v>
      </c>
      <c r="O91" s="49"/>
      <c r="P91" s="48" t="e">
        <f>VLOOKUP($A91,#REF!,9,0)</f>
        <v>#REF!</v>
      </c>
      <c r="Q91" s="49"/>
      <c r="R91" s="48" t="e">
        <f>VLOOKUP($A91,#REF!,10,0)</f>
        <v>#REF!</v>
      </c>
      <c r="S91" s="49"/>
      <c r="T91" s="48" t="e">
        <f>VLOOKUP($A91,#REF!,11,0)</f>
        <v>#REF!</v>
      </c>
      <c r="U91" s="49"/>
      <c r="V91" s="48" t="e">
        <f>VLOOKUP($A91,#REF!,12,0)</f>
        <v>#REF!</v>
      </c>
      <c r="W91" s="49"/>
      <c r="X91" s="48" t="e">
        <f>VLOOKUP($A91,#REF!,13,0)</f>
        <v>#REF!</v>
      </c>
      <c r="Y91" s="49"/>
      <c r="Z91" s="48" t="e">
        <f>VLOOKUP($A91,#REF!,14,0)</f>
        <v>#REF!</v>
      </c>
      <c r="AA91" s="49"/>
    </row>
    <row r="92" spans="1:27" ht="15.75" outlineLevel="1">
      <c r="A92" s="47" t="s">
        <v>149</v>
      </c>
      <c r="B92" s="48" t="e">
        <f>VLOOKUP($A92,#REF!,2,0)</f>
        <v>#REF!</v>
      </c>
      <c r="C92" s="49"/>
      <c r="D92" s="48" t="e">
        <f>VLOOKUP($A92,#REF!,3,0)</f>
        <v>#REF!</v>
      </c>
      <c r="E92" s="49"/>
      <c r="F92" s="48" t="e">
        <f>VLOOKUP($A92,#REF!,4,0)</f>
        <v>#REF!</v>
      </c>
      <c r="G92" s="49"/>
      <c r="H92" s="48" t="e">
        <f>VLOOKUP($A92,#REF!,5,0)</f>
        <v>#REF!</v>
      </c>
      <c r="I92" s="49"/>
      <c r="J92" s="48" t="e">
        <f>VLOOKUP($A92,#REF!,6,0)</f>
        <v>#REF!</v>
      </c>
      <c r="K92" s="49"/>
      <c r="L92" s="48" t="e">
        <f>VLOOKUP($A92,#REF!,7,0)</f>
        <v>#REF!</v>
      </c>
      <c r="M92" s="49"/>
      <c r="N92" s="48" t="e">
        <f>VLOOKUP($A92,#REF!,8,0)</f>
        <v>#REF!</v>
      </c>
      <c r="O92" s="49"/>
      <c r="P92" s="48" t="e">
        <f>VLOOKUP($A92,#REF!,9,0)</f>
        <v>#REF!</v>
      </c>
      <c r="Q92" s="49"/>
      <c r="R92" s="48" t="e">
        <f>VLOOKUP($A92,#REF!,10,0)</f>
        <v>#REF!</v>
      </c>
      <c r="S92" s="49"/>
      <c r="T92" s="48" t="e">
        <f>VLOOKUP($A92,#REF!,11,0)</f>
        <v>#REF!</v>
      </c>
      <c r="U92" s="49"/>
      <c r="V92" s="48" t="e">
        <f>VLOOKUP($A92,#REF!,12,0)</f>
        <v>#REF!</v>
      </c>
      <c r="W92" s="49"/>
      <c r="X92" s="48" t="e">
        <f>VLOOKUP($A92,#REF!,13,0)</f>
        <v>#REF!</v>
      </c>
      <c r="Y92" s="49"/>
      <c r="Z92" s="48" t="e">
        <f>VLOOKUP($A92,#REF!,14,0)</f>
        <v>#REF!</v>
      </c>
      <c r="AA92" s="49"/>
    </row>
    <row r="93" spans="1:27" ht="15.75" outlineLevel="1">
      <c r="A93" s="47" t="s">
        <v>29</v>
      </c>
      <c r="B93" s="48">
        <v>0</v>
      </c>
      <c r="C93" s="49"/>
      <c r="D93" s="48">
        <v>0</v>
      </c>
      <c r="E93" s="49"/>
      <c r="F93" s="48">
        <v>0</v>
      </c>
      <c r="G93" s="49"/>
      <c r="H93" s="48">
        <v>0</v>
      </c>
      <c r="I93" s="49"/>
      <c r="J93" s="48">
        <v>0</v>
      </c>
      <c r="K93" s="49"/>
      <c r="L93" s="48">
        <v>0</v>
      </c>
      <c r="M93" s="49"/>
      <c r="N93" s="48">
        <v>0</v>
      </c>
      <c r="O93" s="49"/>
      <c r="P93" s="48">
        <v>0</v>
      </c>
      <c r="Q93" s="49"/>
      <c r="R93" s="48">
        <v>0</v>
      </c>
      <c r="S93" s="49"/>
      <c r="T93" s="48">
        <v>0</v>
      </c>
      <c r="U93" s="49"/>
      <c r="V93" s="48">
        <v>0</v>
      </c>
      <c r="W93" s="49"/>
      <c r="X93" s="48">
        <v>0</v>
      </c>
      <c r="Y93" s="49"/>
      <c r="Z93" s="48">
        <v>0</v>
      </c>
      <c r="AA93" s="49"/>
    </row>
    <row r="94" spans="1:27" ht="15.75" outlineLevel="1">
      <c r="A94" s="47" t="s">
        <v>79</v>
      </c>
      <c r="B94" s="48" t="e">
        <f>VLOOKUP($A94,#REF!,2,0)</f>
        <v>#REF!</v>
      </c>
      <c r="C94" s="49"/>
      <c r="D94" s="48" t="e">
        <f>VLOOKUP($A94,#REF!,3,0)</f>
        <v>#REF!</v>
      </c>
      <c r="E94" s="49"/>
      <c r="F94" s="48" t="e">
        <f>VLOOKUP($A94,#REF!,4,0)</f>
        <v>#REF!</v>
      </c>
      <c r="G94" s="49"/>
      <c r="H94" s="48" t="e">
        <f>VLOOKUP($A94,#REF!,5,0)</f>
        <v>#REF!</v>
      </c>
      <c r="I94" s="49"/>
      <c r="J94" s="48" t="e">
        <f>VLOOKUP($A94,#REF!,6,0)</f>
        <v>#REF!</v>
      </c>
      <c r="K94" s="49"/>
      <c r="L94" s="48" t="e">
        <f>VLOOKUP($A94,#REF!,7,0)</f>
        <v>#REF!</v>
      </c>
      <c r="M94" s="49"/>
      <c r="N94" s="48" t="e">
        <f>VLOOKUP($A94,#REF!,8,0)</f>
        <v>#REF!</v>
      </c>
      <c r="O94" s="49"/>
      <c r="P94" s="48" t="e">
        <f>VLOOKUP($A94,#REF!,9,0)</f>
        <v>#REF!</v>
      </c>
      <c r="Q94" s="49"/>
      <c r="R94" s="48" t="e">
        <f>VLOOKUP($A94,#REF!,10,0)</f>
        <v>#REF!</v>
      </c>
      <c r="S94" s="49"/>
      <c r="T94" s="48" t="e">
        <f>VLOOKUP($A94,#REF!,11,0)</f>
        <v>#REF!</v>
      </c>
      <c r="U94" s="49"/>
      <c r="V94" s="48" t="e">
        <f>VLOOKUP($A94,#REF!,12,0)</f>
        <v>#REF!</v>
      </c>
      <c r="W94" s="49"/>
      <c r="X94" s="48" t="e">
        <f>VLOOKUP($A94,#REF!,13,0)</f>
        <v>#REF!</v>
      </c>
      <c r="Y94" s="49"/>
      <c r="Z94" s="48" t="e">
        <f>VLOOKUP($A94,#REF!,14,0)</f>
        <v>#REF!</v>
      </c>
      <c r="AA94" s="49"/>
    </row>
    <row r="95" spans="1:27" ht="15.75" outlineLevel="1">
      <c r="A95" s="47" t="s">
        <v>55</v>
      </c>
      <c r="B95" s="48" t="e">
        <f>VLOOKUP($A95,#REF!,2,0)</f>
        <v>#REF!</v>
      </c>
      <c r="C95" s="49"/>
      <c r="D95" s="48" t="e">
        <f>VLOOKUP($A95,#REF!,3,0)</f>
        <v>#REF!</v>
      </c>
      <c r="E95" s="49"/>
      <c r="F95" s="48" t="e">
        <f>VLOOKUP($A95,#REF!,4,0)</f>
        <v>#REF!</v>
      </c>
      <c r="G95" s="49"/>
      <c r="H95" s="48" t="e">
        <f>VLOOKUP($A95,#REF!,5,0)</f>
        <v>#REF!</v>
      </c>
      <c r="I95" s="49"/>
      <c r="J95" s="48" t="e">
        <f>VLOOKUP($A95,#REF!,6,0)</f>
        <v>#REF!</v>
      </c>
      <c r="K95" s="49"/>
      <c r="L95" s="48" t="e">
        <f>VLOOKUP($A95,#REF!,7,0)</f>
        <v>#REF!</v>
      </c>
      <c r="M95" s="49"/>
      <c r="N95" s="48" t="e">
        <f>VLOOKUP($A95,#REF!,8,0)</f>
        <v>#REF!</v>
      </c>
      <c r="O95" s="49"/>
      <c r="P95" s="48" t="e">
        <f>VLOOKUP($A95,#REF!,9,0)</f>
        <v>#REF!</v>
      </c>
      <c r="Q95" s="49"/>
      <c r="R95" s="48" t="e">
        <f>VLOOKUP($A95,#REF!,10,0)</f>
        <v>#REF!</v>
      </c>
      <c r="S95" s="49"/>
      <c r="T95" s="48" t="e">
        <f>VLOOKUP($A95,#REF!,11,0)</f>
        <v>#REF!</v>
      </c>
      <c r="U95" s="49"/>
      <c r="V95" s="48" t="e">
        <f>VLOOKUP($A95,#REF!,12,0)</f>
        <v>#REF!</v>
      </c>
      <c r="W95" s="49"/>
      <c r="X95" s="48" t="e">
        <f>VLOOKUP($A95,#REF!,13,0)</f>
        <v>#REF!</v>
      </c>
      <c r="Y95" s="49"/>
      <c r="Z95" s="48" t="e">
        <f>VLOOKUP($A95,#REF!,14,0)</f>
        <v>#REF!</v>
      </c>
      <c r="AA95" s="49"/>
    </row>
    <row r="96" spans="1:27" ht="15.75" outlineLevel="1">
      <c r="A96" s="47" t="s">
        <v>10</v>
      </c>
      <c r="B96" s="48" t="e">
        <f>VLOOKUP($A96,#REF!,2,0)</f>
        <v>#REF!</v>
      </c>
      <c r="C96" s="49"/>
      <c r="D96" s="48" t="e">
        <f>VLOOKUP($A96,#REF!,3,0)</f>
        <v>#REF!</v>
      </c>
      <c r="E96" s="49"/>
      <c r="F96" s="48" t="e">
        <f>VLOOKUP($A96,#REF!,4,0)</f>
        <v>#REF!</v>
      </c>
      <c r="G96" s="49"/>
      <c r="H96" s="48" t="e">
        <f>VLOOKUP($A96,#REF!,5,0)</f>
        <v>#REF!</v>
      </c>
      <c r="I96" s="49"/>
      <c r="J96" s="48" t="e">
        <f>VLOOKUP($A96,#REF!,6,0)</f>
        <v>#REF!</v>
      </c>
      <c r="K96" s="49"/>
      <c r="L96" s="48" t="e">
        <f>VLOOKUP($A96,#REF!,7,0)</f>
        <v>#REF!</v>
      </c>
      <c r="M96" s="49"/>
      <c r="N96" s="48" t="e">
        <f>VLOOKUP($A96,#REF!,8,0)</f>
        <v>#REF!</v>
      </c>
      <c r="O96" s="49"/>
      <c r="P96" s="48" t="e">
        <f>VLOOKUP($A96,#REF!,9,0)</f>
        <v>#REF!</v>
      </c>
      <c r="Q96" s="49"/>
      <c r="R96" s="48" t="e">
        <f>VLOOKUP($A96,#REF!,10,0)</f>
        <v>#REF!</v>
      </c>
      <c r="S96" s="49"/>
      <c r="T96" s="48" t="e">
        <f>VLOOKUP($A96,#REF!,11,0)</f>
        <v>#REF!</v>
      </c>
      <c r="U96" s="49"/>
      <c r="V96" s="48" t="e">
        <f>VLOOKUP($A96,#REF!,12,0)</f>
        <v>#REF!</v>
      </c>
      <c r="W96" s="49"/>
      <c r="X96" s="48" t="e">
        <f>VLOOKUP($A96,#REF!,13,0)</f>
        <v>#REF!</v>
      </c>
      <c r="Y96" s="49"/>
      <c r="Z96" s="48" t="e">
        <f>VLOOKUP($A96,#REF!,14,0)</f>
        <v>#REF!</v>
      </c>
      <c r="AA96" s="49"/>
    </row>
    <row r="97" spans="1:27" ht="15.75" outlineLevel="1">
      <c r="A97" s="47" t="s">
        <v>12</v>
      </c>
      <c r="B97" s="48" t="e">
        <f>VLOOKUP($A97,#REF!,2,0)</f>
        <v>#REF!</v>
      </c>
      <c r="C97" s="49"/>
      <c r="D97" s="48" t="e">
        <f>VLOOKUP($A97,#REF!,3,0)</f>
        <v>#REF!</v>
      </c>
      <c r="E97" s="49"/>
      <c r="F97" s="48" t="e">
        <f>VLOOKUP($A97,#REF!,4,0)</f>
        <v>#REF!</v>
      </c>
      <c r="G97" s="49"/>
      <c r="H97" s="48" t="e">
        <f>VLOOKUP($A97,#REF!,5,0)</f>
        <v>#REF!</v>
      </c>
      <c r="I97" s="49"/>
      <c r="J97" s="48" t="e">
        <f>VLOOKUP($A97,#REF!,6,0)</f>
        <v>#REF!</v>
      </c>
      <c r="K97" s="49"/>
      <c r="L97" s="48" t="e">
        <f>VLOOKUP($A97,#REF!,7,0)</f>
        <v>#REF!</v>
      </c>
      <c r="M97" s="49"/>
      <c r="N97" s="48" t="e">
        <f>VLOOKUP($A97,#REF!,8,0)</f>
        <v>#REF!</v>
      </c>
      <c r="O97" s="49"/>
      <c r="P97" s="48" t="e">
        <f>VLOOKUP($A97,#REF!,9,0)</f>
        <v>#REF!</v>
      </c>
      <c r="Q97" s="49"/>
      <c r="R97" s="48" t="e">
        <f>VLOOKUP($A97,#REF!,10,0)</f>
        <v>#REF!</v>
      </c>
      <c r="S97" s="49"/>
      <c r="T97" s="48" t="e">
        <f>VLOOKUP($A97,#REF!,11,0)</f>
        <v>#REF!</v>
      </c>
      <c r="U97" s="49"/>
      <c r="V97" s="48" t="e">
        <f>VLOOKUP($A97,#REF!,12,0)</f>
        <v>#REF!</v>
      </c>
      <c r="W97" s="49"/>
      <c r="X97" s="48" t="e">
        <f>VLOOKUP($A97,#REF!,13,0)</f>
        <v>#REF!</v>
      </c>
      <c r="Y97" s="49"/>
      <c r="Z97" s="48" t="e">
        <f>VLOOKUP($A97,#REF!,14,0)</f>
        <v>#REF!</v>
      </c>
      <c r="AA97" s="49"/>
    </row>
    <row r="98" spans="1:27" ht="8.25" customHeight="1" thickBot="1">
      <c r="C98" s="51"/>
      <c r="E98" s="51"/>
      <c r="G98" s="51"/>
      <c r="I98" s="51"/>
      <c r="K98" s="51"/>
      <c r="M98" s="51"/>
      <c r="O98" s="51"/>
      <c r="Q98" s="51"/>
      <c r="S98" s="51"/>
      <c r="U98" s="51"/>
      <c r="W98" s="51"/>
      <c r="Y98" s="51"/>
      <c r="AA98" s="51"/>
    </row>
    <row r="99" spans="1:27" ht="21.75" thickBot="1">
      <c r="A99" s="44" t="s">
        <v>443</v>
      </c>
      <c r="B99" s="45" t="e">
        <f>SUM(B100:B114)</f>
        <v>#REF!</v>
      </c>
      <c r="C99" s="46" t="e">
        <f>B99/B$10</f>
        <v>#REF!</v>
      </c>
      <c r="D99" s="45" t="e">
        <f>SUM(D100:D114)</f>
        <v>#REF!</v>
      </c>
      <c r="E99" s="46" t="e">
        <f>D99/D$10</f>
        <v>#REF!</v>
      </c>
      <c r="F99" s="45" t="e">
        <f>SUM(F100:F114)</f>
        <v>#REF!</v>
      </c>
      <c r="G99" s="46" t="e">
        <f>F99/F$10</f>
        <v>#REF!</v>
      </c>
      <c r="H99" s="45" t="e">
        <f>SUM(H100:H114)</f>
        <v>#REF!</v>
      </c>
      <c r="I99" s="46" t="e">
        <f>H99/H$10</f>
        <v>#REF!</v>
      </c>
      <c r="J99" s="45" t="e">
        <f>SUM(J100:J114)</f>
        <v>#REF!</v>
      </c>
      <c r="K99" s="46" t="e">
        <f>J99/J$10</f>
        <v>#REF!</v>
      </c>
      <c r="L99" s="45" t="e">
        <f>SUM(L100:L114)</f>
        <v>#REF!</v>
      </c>
      <c r="M99" s="46" t="e">
        <f>L99/L$10</f>
        <v>#REF!</v>
      </c>
      <c r="N99" s="45" t="e">
        <f>SUM(N100:N114)</f>
        <v>#REF!</v>
      </c>
      <c r="O99" s="46" t="e">
        <f>N99/N$10</f>
        <v>#REF!</v>
      </c>
      <c r="P99" s="45" t="e">
        <f>SUM(P100:P114)</f>
        <v>#REF!</v>
      </c>
      <c r="Q99" s="46" t="e">
        <f>P99/P$10</f>
        <v>#REF!</v>
      </c>
      <c r="R99" s="45" t="e">
        <f>SUM(R100:R114)</f>
        <v>#REF!</v>
      </c>
      <c r="S99" s="46" t="e">
        <f>R99/R$10</f>
        <v>#REF!</v>
      </c>
      <c r="T99" s="45" t="e">
        <f>SUM(T100:T114)</f>
        <v>#REF!</v>
      </c>
      <c r="U99" s="46" t="e">
        <f>T99/T$10</f>
        <v>#REF!</v>
      </c>
      <c r="V99" s="45" t="e">
        <f>SUM(V100:V114)</f>
        <v>#REF!</v>
      </c>
      <c r="W99" s="46" t="e">
        <f>V99/V$10</f>
        <v>#REF!</v>
      </c>
      <c r="X99" s="45" t="e">
        <f>SUM(X100:X114)</f>
        <v>#REF!</v>
      </c>
      <c r="Y99" s="46" t="e">
        <f>X99/X$10</f>
        <v>#REF!</v>
      </c>
      <c r="Z99" s="45" t="e">
        <f>SUM(Z100:Z114)</f>
        <v>#REF!</v>
      </c>
      <c r="AA99" s="46" t="e">
        <f>Z99/Z$10</f>
        <v>#REF!</v>
      </c>
    </row>
    <row r="100" spans="1:27" ht="15.75" outlineLevel="1">
      <c r="A100" s="47" t="s">
        <v>148</v>
      </c>
      <c r="B100" s="48" t="e">
        <f>VLOOKUP($A100,#REF!,2,0)</f>
        <v>#REF!</v>
      </c>
      <c r="C100" s="49"/>
      <c r="D100" s="48" t="e">
        <f>VLOOKUP($A100,#REF!,3,0)</f>
        <v>#REF!</v>
      </c>
      <c r="E100" s="49"/>
      <c r="F100" s="48" t="e">
        <f>VLOOKUP($A100,#REF!,4,0)</f>
        <v>#REF!</v>
      </c>
      <c r="G100" s="49"/>
      <c r="H100" s="48" t="e">
        <f>VLOOKUP($A100,#REF!,5,0)</f>
        <v>#REF!</v>
      </c>
      <c r="I100" s="49"/>
      <c r="J100" s="48" t="e">
        <f>VLOOKUP($A100,#REF!,6,0)</f>
        <v>#REF!</v>
      </c>
      <c r="K100" s="49"/>
      <c r="L100" s="48" t="e">
        <f>VLOOKUP($A100,#REF!,7,0)</f>
        <v>#REF!</v>
      </c>
      <c r="M100" s="49"/>
      <c r="N100" s="48" t="e">
        <f>VLOOKUP($A100,#REF!,8,0)</f>
        <v>#REF!</v>
      </c>
      <c r="O100" s="49"/>
      <c r="P100" s="48" t="e">
        <f>VLOOKUP($A100,#REF!,9,0)</f>
        <v>#REF!</v>
      </c>
      <c r="Q100" s="49"/>
      <c r="R100" s="48" t="e">
        <f>VLOOKUP($A100,#REF!,10,0)</f>
        <v>#REF!</v>
      </c>
      <c r="S100" s="49"/>
      <c r="T100" s="48" t="e">
        <f>VLOOKUP($A100,#REF!,11,0)</f>
        <v>#REF!</v>
      </c>
      <c r="U100" s="49"/>
      <c r="V100" s="48" t="e">
        <f>VLOOKUP($A100,#REF!,12,0)</f>
        <v>#REF!</v>
      </c>
      <c r="W100" s="49"/>
      <c r="X100" s="48" t="e">
        <f>VLOOKUP($A100,#REF!,13,0)</f>
        <v>#REF!</v>
      </c>
      <c r="Y100" s="49"/>
      <c r="Z100" s="48" t="e">
        <f>VLOOKUP($A100,#REF!,14,0)</f>
        <v>#REF!</v>
      </c>
      <c r="AA100" s="49"/>
    </row>
    <row r="101" spans="1:27" ht="15.75" outlineLevel="1">
      <c r="A101" s="47" t="s">
        <v>149</v>
      </c>
      <c r="B101" s="48" t="e">
        <f>VLOOKUP($A101,#REF!,2,0)</f>
        <v>#REF!</v>
      </c>
      <c r="C101" s="49"/>
      <c r="D101" s="48" t="e">
        <f>VLOOKUP($A101,#REF!,3,0)</f>
        <v>#REF!</v>
      </c>
      <c r="E101" s="49"/>
      <c r="F101" s="48" t="e">
        <f>VLOOKUP($A101,#REF!,4,0)</f>
        <v>#REF!</v>
      </c>
      <c r="G101" s="49"/>
      <c r="H101" s="48" t="e">
        <f>VLOOKUP($A101,#REF!,5,0)</f>
        <v>#REF!</v>
      </c>
      <c r="I101" s="49"/>
      <c r="J101" s="48" t="e">
        <f>VLOOKUP($A101,#REF!,6,0)</f>
        <v>#REF!</v>
      </c>
      <c r="K101" s="49"/>
      <c r="L101" s="48" t="e">
        <f>VLOOKUP($A101,#REF!,7,0)</f>
        <v>#REF!</v>
      </c>
      <c r="M101" s="49"/>
      <c r="N101" s="48" t="e">
        <f>VLOOKUP($A101,#REF!,8,0)</f>
        <v>#REF!</v>
      </c>
      <c r="O101" s="49"/>
      <c r="P101" s="48" t="e">
        <f>VLOOKUP($A101,#REF!,9,0)</f>
        <v>#REF!</v>
      </c>
      <c r="Q101" s="49"/>
      <c r="R101" s="48" t="e">
        <f>VLOOKUP($A101,#REF!,10,0)</f>
        <v>#REF!</v>
      </c>
      <c r="S101" s="49"/>
      <c r="T101" s="48" t="e">
        <f>VLOOKUP($A101,#REF!,11,0)</f>
        <v>#REF!</v>
      </c>
      <c r="U101" s="49"/>
      <c r="V101" s="48" t="e">
        <f>VLOOKUP($A101,#REF!,12,0)</f>
        <v>#REF!</v>
      </c>
      <c r="W101" s="49"/>
      <c r="X101" s="48" t="e">
        <f>VLOOKUP($A101,#REF!,13,0)</f>
        <v>#REF!</v>
      </c>
      <c r="Y101" s="49"/>
      <c r="Z101" s="48" t="e">
        <f>VLOOKUP($A101,#REF!,14,0)</f>
        <v>#REF!</v>
      </c>
      <c r="AA101" s="49"/>
    </row>
    <row r="102" spans="1:27" s="66" customFormat="1" ht="15.75" outlineLevel="1">
      <c r="A102" s="47" t="s">
        <v>22</v>
      </c>
      <c r="B102" s="48" t="e">
        <f>VLOOKUP($A102,#REF!,2,0)</f>
        <v>#REF!</v>
      </c>
      <c r="C102" s="50"/>
      <c r="D102" s="48" t="e">
        <f>VLOOKUP($A102,#REF!,3,0)</f>
        <v>#REF!</v>
      </c>
      <c r="E102" s="50"/>
      <c r="F102" s="48" t="e">
        <f>VLOOKUP($A102,#REF!,4,0)</f>
        <v>#REF!</v>
      </c>
      <c r="G102" s="50"/>
      <c r="H102" s="48" t="e">
        <f>VLOOKUP($A102,#REF!,5,0)</f>
        <v>#REF!</v>
      </c>
      <c r="I102" s="50"/>
      <c r="J102" s="48" t="e">
        <f>VLOOKUP($A102,#REF!,6,0)</f>
        <v>#REF!</v>
      </c>
      <c r="K102" s="50"/>
      <c r="L102" s="48" t="e">
        <f>VLOOKUP($A102,#REF!,7,0)</f>
        <v>#REF!</v>
      </c>
      <c r="M102" s="50"/>
      <c r="N102" s="48" t="e">
        <f>VLOOKUP($A102,#REF!,8,0)</f>
        <v>#REF!</v>
      </c>
      <c r="O102" s="50"/>
      <c r="P102" s="48" t="e">
        <f>VLOOKUP($A102,#REF!,9,0)</f>
        <v>#REF!</v>
      </c>
      <c r="Q102" s="50"/>
      <c r="R102" s="48" t="e">
        <f>VLOOKUP($A102,#REF!,10,0)</f>
        <v>#REF!</v>
      </c>
      <c r="S102" s="50"/>
      <c r="T102" s="48" t="e">
        <f>VLOOKUP($A102,#REF!,11,0)</f>
        <v>#REF!</v>
      </c>
      <c r="U102" s="50"/>
      <c r="V102" s="48" t="e">
        <f>VLOOKUP($A102,#REF!,12,0)</f>
        <v>#REF!</v>
      </c>
      <c r="W102" s="50"/>
      <c r="X102" s="48" t="e">
        <f>VLOOKUP($A102,#REF!,13,0)</f>
        <v>#REF!</v>
      </c>
      <c r="Y102" s="50"/>
      <c r="Z102" s="48" t="e">
        <f>VLOOKUP($A102,#REF!,14,0)</f>
        <v>#REF!</v>
      </c>
      <c r="AA102" s="50"/>
    </row>
    <row r="103" spans="1:27" ht="15.75" outlineLevel="1">
      <c r="A103" s="47" t="s">
        <v>25</v>
      </c>
      <c r="B103" s="48" t="e">
        <f>VLOOKUP($A103,#REF!,2,0)</f>
        <v>#REF!</v>
      </c>
      <c r="C103" s="50"/>
      <c r="D103" s="48" t="e">
        <f>VLOOKUP($A103,#REF!,3,0)</f>
        <v>#REF!</v>
      </c>
      <c r="E103" s="50"/>
      <c r="F103" s="48" t="e">
        <f>VLOOKUP($A103,#REF!,4,0)</f>
        <v>#REF!</v>
      </c>
      <c r="G103" s="50"/>
      <c r="H103" s="48" t="e">
        <f>VLOOKUP($A103,#REF!,5,0)</f>
        <v>#REF!</v>
      </c>
      <c r="I103" s="50"/>
      <c r="J103" s="48" t="e">
        <f>VLOOKUP($A103,#REF!,6,0)</f>
        <v>#REF!</v>
      </c>
      <c r="K103" s="50"/>
      <c r="L103" s="48" t="e">
        <f>VLOOKUP($A103,#REF!,7,0)</f>
        <v>#REF!</v>
      </c>
      <c r="M103" s="50"/>
      <c r="N103" s="48" t="e">
        <f>VLOOKUP($A103,#REF!,8,0)</f>
        <v>#REF!</v>
      </c>
      <c r="O103" s="50"/>
      <c r="P103" s="48" t="e">
        <f>VLOOKUP($A103,#REF!,9,0)</f>
        <v>#REF!</v>
      </c>
      <c r="Q103" s="50"/>
      <c r="R103" s="48" t="e">
        <f>VLOOKUP($A103,#REF!,10,0)</f>
        <v>#REF!</v>
      </c>
      <c r="S103" s="50"/>
      <c r="T103" s="48" t="e">
        <f>VLOOKUP($A103,#REF!,11,0)</f>
        <v>#REF!</v>
      </c>
      <c r="U103" s="50"/>
      <c r="V103" s="48" t="e">
        <f>VLOOKUP($A103,#REF!,12,0)</f>
        <v>#REF!</v>
      </c>
      <c r="W103" s="50"/>
      <c r="X103" s="48" t="e">
        <f>VLOOKUP($A103,#REF!,13,0)</f>
        <v>#REF!</v>
      </c>
      <c r="Y103" s="50"/>
      <c r="Z103" s="48" t="e">
        <f>VLOOKUP($A103,#REF!,14,0)</f>
        <v>#REF!</v>
      </c>
      <c r="AA103" s="50"/>
    </row>
    <row r="104" spans="1:27" ht="15.75" outlineLevel="1">
      <c r="A104" s="47" t="s">
        <v>141</v>
      </c>
      <c r="B104" s="48" t="e">
        <f>VLOOKUP($A104,#REF!,2,0)</f>
        <v>#REF!</v>
      </c>
      <c r="C104" s="49"/>
      <c r="D104" s="48" t="e">
        <f>VLOOKUP($A104,#REF!,3,0)</f>
        <v>#REF!</v>
      </c>
      <c r="E104" s="49"/>
      <c r="F104" s="48" t="e">
        <f>VLOOKUP($A104,#REF!,4,0)</f>
        <v>#REF!</v>
      </c>
      <c r="G104" s="49"/>
      <c r="H104" s="48" t="e">
        <f>VLOOKUP($A104,#REF!,5,0)</f>
        <v>#REF!</v>
      </c>
      <c r="I104" s="49"/>
      <c r="J104" s="48" t="e">
        <f>VLOOKUP($A104,#REF!,6,0)</f>
        <v>#REF!</v>
      </c>
      <c r="K104" s="49"/>
      <c r="L104" s="48" t="e">
        <f>VLOOKUP($A104,#REF!,7,0)</f>
        <v>#REF!</v>
      </c>
      <c r="M104" s="49"/>
      <c r="N104" s="48" t="e">
        <f>VLOOKUP($A104,#REF!,8,0)</f>
        <v>#REF!</v>
      </c>
      <c r="O104" s="49"/>
      <c r="P104" s="48" t="e">
        <f>VLOOKUP($A104,#REF!,9,0)</f>
        <v>#REF!</v>
      </c>
      <c r="Q104" s="49"/>
      <c r="R104" s="48" t="e">
        <f>VLOOKUP($A104,#REF!,10,0)</f>
        <v>#REF!</v>
      </c>
      <c r="S104" s="49"/>
      <c r="T104" s="48" t="e">
        <f>VLOOKUP($A104,#REF!,11,0)</f>
        <v>#REF!</v>
      </c>
      <c r="U104" s="49"/>
      <c r="V104" s="48" t="e">
        <f>VLOOKUP($A104,#REF!,12,0)</f>
        <v>#REF!</v>
      </c>
      <c r="W104" s="49"/>
      <c r="X104" s="48" t="e">
        <f>VLOOKUP($A104,#REF!,13,0)</f>
        <v>#REF!</v>
      </c>
      <c r="Y104" s="49"/>
      <c r="Z104" s="48" t="e">
        <f>VLOOKUP($A104,#REF!,14,0)</f>
        <v>#REF!</v>
      </c>
      <c r="AA104" s="49"/>
    </row>
    <row r="105" spans="1:27" s="66" customFormat="1" ht="15.75" outlineLevel="1">
      <c r="A105" s="47" t="s">
        <v>45</v>
      </c>
      <c r="B105" s="48" t="e">
        <f>VLOOKUP($A105,#REF!,2,0)</f>
        <v>#REF!</v>
      </c>
      <c r="C105" s="49"/>
      <c r="D105" s="48" t="e">
        <f>VLOOKUP($A105,#REF!,3,0)</f>
        <v>#REF!</v>
      </c>
      <c r="E105" s="49"/>
      <c r="F105" s="48" t="e">
        <f>VLOOKUP($A105,#REF!,4,0)</f>
        <v>#REF!</v>
      </c>
      <c r="G105" s="49"/>
      <c r="H105" s="48" t="e">
        <f>VLOOKUP($A105,#REF!,5,0)</f>
        <v>#REF!</v>
      </c>
      <c r="I105" s="49"/>
      <c r="J105" s="48" t="e">
        <f>VLOOKUP($A105,#REF!,6,0)</f>
        <v>#REF!</v>
      </c>
      <c r="K105" s="49"/>
      <c r="L105" s="48" t="e">
        <f>VLOOKUP($A105,#REF!,7,0)</f>
        <v>#REF!</v>
      </c>
      <c r="M105" s="49"/>
      <c r="N105" s="48" t="e">
        <f>VLOOKUP($A105,#REF!,8,0)</f>
        <v>#REF!</v>
      </c>
      <c r="O105" s="49"/>
      <c r="P105" s="48" t="e">
        <f>VLOOKUP($A105,#REF!,9,0)</f>
        <v>#REF!</v>
      </c>
      <c r="Q105" s="49"/>
      <c r="R105" s="48" t="e">
        <f>VLOOKUP($A105,#REF!,10,0)</f>
        <v>#REF!</v>
      </c>
      <c r="S105" s="49"/>
      <c r="T105" s="48" t="e">
        <f>VLOOKUP($A105,#REF!,11,0)</f>
        <v>#REF!</v>
      </c>
      <c r="U105" s="49"/>
      <c r="V105" s="48" t="e">
        <f>VLOOKUP($A105,#REF!,12,0)</f>
        <v>#REF!</v>
      </c>
      <c r="W105" s="49"/>
      <c r="X105" s="48" t="e">
        <f>VLOOKUP($A105,#REF!,13,0)</f>
        <v>#REF!</v>
      </c>
      <c r="Y105" s="49"/>
      <c r="Z105" s="48" t="e">
        <f>VLOOKUP($A105,#REF!,14,0)</f>
        <v>#REF!</v>
      </c>
      <c r="AA105" s="49"/>
    </row>
    <row r="106" spans="1:27" s="66" customFormat="1" ht="15.75" outlineLevel="1">
      <c r="A106" s="47" t="s">
        <v>89</v>
      </c>
      <c r="B106" s="48">
        <v>0</v>
      </c>
      <c r="C106" s="50"/>
      <c r="D106" s="48">
        <v>0</v>
      </c>
      <c r="E106" s="50"/>
      <c r="F106" s="48">
        <v>0</v>
      </c>
      <c r="G106" s="50"/>
      <c r="H106" s="48">
        <v>0</v>
      </c>
      <c r="I106" s="50"/>
      <c r="J106" s="48">
        <v>0</v>
      </c>
      <c r="K106" s="50"/>
      <c r="L106" s="48">
        <v>0</v>
      </c>
      <c r="M106" s="50"/>
      <c r="N106" s="48">
        <v>0</v>
      </c>
      <c r="O106" s="50"/>
      <c r="P106" s="48">
        <v>0</v>
      </c>
      <c r="Q106" s="50"/>
      <c r="R106" s="48">
        <v>0</v>
      </c>
      <c r="S106" s="50"/>
      <c r="T106" s="48">
        <v>0</v>
      </c>
      <c r="U106" s="50"/>
      <c r="V106" s="48">
        <v>0</v>
      </c>
      <c r="W106" s="50"/>
      <c r="X106" s="48">
        <v>0</v>
      </c>
      <c r="Y106" s="50"/>
      <c r="Z106" s="48">
        <v>0</v>
      </c>
      <c r="AA106" s="50"/>
    </row>
    <row r="107" spans="1:27" ht="15.75" outlineLevel="1">
      <c r="A107" s="47" t="s">
        <v>29</v>
      </c>
      <c r="B107" s="48" t="e">
        <f>VLOOKUP($A107,#REF!,2,0)</f>
        <v>#REF!</v>
      </c>
      <c r="C107" s="49"/>
      <c r="D107" s="48" t="e">
        <f>VLOOKUP($A107,#REF!,3,0)</f>
        <v>#REF!</v>
      </c>
      <c r="E107" s="49"/>
      <c r="F107" s="48" t="e">
        <f>VLOOKUP($A107,#REF!,4,0)</f>
        <v>#REF!</v>
      </c>
      <c r="G107" s="49"/>
      <c r="H107" s="48" t="e">
        <f>VLOOKUP($A107,#REF!,5,0)</f>
        <v>#REF!</v>
      </c>
      <c r="I107" s="49"/>
      <c r="J107" s="48" t="e">
        <f>VLOOKUP($A107,#REF!,6,0)</f>
        <v>#REF!</v>
      </c>
      <c r="K107" s="49"/>
      <c r="L107" s="48" t="e">
        <f>VLOOKUP($A107,#REF!,7,0)</f>
        <v>#REF!</v>
      </c>
      <c r="M107" s="49"/>
      <c r="N107" s="48" t="e">
        <f>VLOOKUP($A107,#REF!,8,0)</f>
        <v>#REF!</v>
      </c>
      <c r="O107" s="49"/>
      <c r="P107" s="48" t="e">
        <f>VLOOKUP($A107,#REF!,9,0)</f>
        <v>#REF!</v>
      </c>
      <c r="Q107" s="49"/>
      <c r="R107" s="48" t="e">
        <f>VLOOKUP($A107,#REF!,10,0)</f>
        <v>#REF!</v>
      </c>
      <c r="S107" s="49"/>
      <c r="T107" s="48" t="e">
        <f>VLOOKUP($A107,#REF!,11,0)</f>
        <v>#REF!</v>
      </c>
      <c r="U107" s="49"/>
      <c r="V107" s="48" t="e">
        <f>VLOOKUP($A107,#REF!,12,0)</f>
        <v>#REF!</v>
      </c>
      <c r="W107" s="49"/>
      <c r="X107" s="48" t="e">
        <f>VLOOKUP($A107,#REF!,13,0)</f>
        <v>#REF!</v>
      </c>
      <c r="Y107" s="49"/>
      <c r="Z107" s="48" t="e">
        <f>VLOOKUP($A107,#REF!,14,0)</f>
        <v>#REF!</v>
      </c>
      <c r="AA107" s="49"/>
    </row>
    <row r="108" spans="1:27" ht="15.75" outlineLevel="1">
      <c r="A108" s="47" t="s">
        <v>138</v>
      </c>
      <c r="B108" s="48" t="e">
        <f>VLOOKUP($A108,#REF!,2,0)</f>
        <v>#REF!</v>
      </c>
      <c r="C108" s="50"/>
      <c r="D108" s="48" t="e">
        <f>VLOOKUP($A108,#REF!,3,0)</f>
        <v>#REF!</v>
      </c>
      <c r="E108" s="50"/>
      <c r="F108" s="48" t="e">
        <f>VLOOKUP($A108,#REF!,4,0)</f>
        <v>#REF!</v>
      </c>
      <c r="G108" s="50"/>
      <c r="H108" s="48" t="e">
        <f>VLOOKUP($A108,#REF!,5,0)</f>
        <v>#REF!</v>
      </c>
      <c r="I108" s="50"/>
      <c r="J108" s="48" t="e">
        <f>VLOOKUP($A108,#REF!,6,0)</f>
        <v>#REF!</v>
      </c>
      <c r="K108" s="50"/>
      <c r="L108" s="48" t="e">
        <f>VLOOKUP($A108,#REF!,7,0)</f>
        <v>#REF!</v>
      </c>
      <c r="M108" s="50"/>
      <c r="N108" s="48" t="e">
        <f>VLOOKUP($A108,#REF!,8,0)</f>
        <v>#REF!</v>
      </c>
      <c r="O108" s="50"/>
      <c r="P108" s="48" t="e">
        <f>VLOOKUP($A108,#REF!,9,0)</f>
        <v>#REF!</v>
      </c>
      <c r="Q108" s="50"/>
      <c r="R108" s="48" t="e">
        <f>VLOOKUP($A108,#REF!,10,0)</f>
        <v>#REF!</v>
      </c>
      <c r="S108" s="50"/>
      <c r="T108" s="48" t="e">
        <f>VLOOKUP($A108,#REF!,11,0)</f>
        <v>#REF!</v>
      </c>
      <c r="U108" s="50"/>
      <c r="V108" s="48" t="e">
        <f>VLOOKUP($A108,#REF!,12,0)</f>
        <v>#REF!</v>
      </c>
      <c r="W108" s="50"/>
      <c r="X108" s="48" t="e">
        <f>VLOOKUP($A108,#REF!,13,0)</f>
        <v>#REF!</v>
      </c>
      <c r="Y108" s="50"/>
      <c r="Z108" s="48" t="e">
        <f>VLOOKUP($A108,#REF!,14,0)</f>
        <v>#REF!</v>
      </c>
      <c r="AA108" s="50"/>
    </row>
    <row r="109" spans="1:27" s="66" customFormat="1" ht="15.75" outlineLevel="1">
      <c r="A109" s="47" t="s">
        <v>37</v>
      </c>
      <c r="B109" s="48" t="e">
        <f>VLOOKUP($A109,#REF!,2,0)</f>
        <v>#REF!</v>
      </c>
      <c r="C109" s="49"/>
      <c r="D109" s="48" t="e">
        <f>VLOOKUP($A109,#REF!,3,0)</f>
        <v>#REF!</v>
      </c>
      <c r="E109" s="49"/>
      <c r="F109" s="48" t="e">
        <f>VLOOKUP($A109,#REF!,4,0)</f>
        <v>#REF!</v>
      </c>
      <c r="G109" s="49"/>
      <c r="H109" s="48" t="e">
        <f>VLOOKUP($A109,#REF!,5,0)</f>
        <v>#REF!</v>
      </c>
      <c r="I109" s="49"/>
      <c r="J109" s="48" t="e">
        <f>VLOOKUP($A109,#REF!,6,0)</f>
        <v>#REF!</v>
      </c>
      <c r="K109" s="49"/>
      <c r="L109" s="48" t="e">
        <f>VLOOKUP($A109,#REF!,7,0)</f>
        <v>#REF!</v>
      </c>
      <c r="M109" s="49"/>
      <c r="N109" s="48" t="e">
        <f>VLOOKUP($A109,#REF!,8,0)</f>
        <v>#REF!</v>
      </c>
      <c r="O109" s="49"/>
      <c r="P109" s="48" t="e">
        <f>VLOOKUP($A109,#REF!,9,0)</f>
        <v>#REF!</v>
      </c>
      <c r="Q109" s="49"/>
      <c r="R109" s="48" t="e">
        <f>VLOOKUP($A109,#REF!,10,0)</f>
        <v>#REF!</v>
      </c>
      <c r="S109" s="49"/>
      <c r="T109" s="48" t="e">
        <f>VLOOKUP($A109,#REF!,11,0)</f>
        <v>#REF!</v>
      </c>
      <c r="U109" s="49"/>
      <c r="V109" s="48" t="e">
        <f>VLOOKUP($A109,#REF!,12,0)</f>
        <v>#REF!</v>
      </c>
      <c r="W109" s="49"/>
      <c r="X109" s="48" t="e">
        <f>VLOOKUP($A109,#REF!,13,0)</f>
        <v>#REF!</v>
      </c>
      <c r="Y109" s="49"/>
      <c r="Z109" s="48" t="e">
        <f>VLOOKUP($A109,#REF!,14,0)</f>
        <v>#REF!</v>
      </c>
      <c r="AA109" s="49"/>
    </row>
    <row r="110" spans="1:27" ht="15.75" outlineLevel="1">
      <c r="A110" s="47" t="s">
        <v>20</v>
      </c>
      <c r="B110" s="48">
        <v>0</v>
      </c>
      <c r="C110" s="49"/>
      <c r="D110" s="48">
        <v>0</v>
      </c>
      <c r="E110" s="49"/>
      <c r="F110" s="48">
        <v>0</v>
      </c>
      <c r="G110" s="49"/>
      <c r="H110" s="48">
        <v>0</v>
      </c>
      <c r="I110" s="49"/>
      <c r="J110" s="48">
        <v>0</v>
      </c>
      <c r="K110" s="49"/>
      <c r="L110" s="48">
        <v>0</v>
      </c>
      <c r="M110" s="49"/>
      <c r="N110" s="48">
        <v>0</v>
      </c>
      <c r="O110" s="49"/>
      <c r="P110" s="48">
        <v>0</v>
      </c>
      <c r="Q110" s="49"/>
      <c r="R110" s="48">
        <v>0</v>
      </c>
      <c r="S110" s="49"/>
      <c r="T110" s="48">
        <v>0</v>
      </c>
      <c r="U110" s="49"/>
      <c r="V110" s="48">
        <v>0</v>
      </c>
      <c r="W110" s="49"/>
      <c r="X110" s="48">
        <v>0</v>
      </c>
      <c r="Y110" s="49"/>
      <c r="Z110" s="48">
        <v>0</v>
      </c>
      <c r="AA110" s="49"/>
    </row>
    <row r="111" spans="1:27" ht="15.75" outlineLevel="1">
      <c r="A111" s="47" t="s">
        <v>27</v>
      </c>
      <c r="B111" s="48" t="e">
        <f>VLOOKUP($A111,#REF!,2,0)</f>
        <v>#REF!</v>
      </c>
      <c r="C111" s="49"/>
      <c r="D111" s="48" t="e">
        <f>VLOOKUP($A111,#REF!,3,0)</f>
        <v>#REF!</v>
      </c>
      <c r="E111" s="49"/>
      <c r="F111" s="48" t="e">
        <f>VLOOKUP($A111,#REF!,4,0)</f>
        <v>#REF!</v>
      </c>
      <c r="G111" s="49"/>
      <c r="H111" s="48" t="e">
        <f>VLOOKUP($A111,#REF!,5,0)</f>
        <v>#REF!</v>
      </c>
      <c r="I111" s="49"/>
      <c r="J111" s="48" t="e">
        <f>VLOOKUP($A111,#REF!,6,0)</f>
        <v>#REF!</v>
      </c>
      <c r="K111" s="49"/>
      <c r="L111" s="48" t="e">
        <f>VLOOKUP($A111,#REF!,7,0)</f>
        <v>#REF!</v>
      </c>
      <c r="M111" s="49"/>
      <c r="N111" s="48" t="e">
        <f>VLOOKUP($A111,#REF!,8,0)</f>
        <v>#REF!</v>
      </c>
      <c r="O111" s="49"/>
      <c r="P111" s="48" t="e">
        <f>VLOOKUP($A111,#REF!,9,0)</f>
        <v>#REF!</v>
      </c>
      <c r="Q111" s="49"/>
      <c r="R111" s="48" t="e">
        <f>VLOOKUP($A111,#REF!,10,0)</f>
        <v>#REF!</v>
      </c>
      <c r="S111" s="49"/>
      <c r="T111" s="48" t="e">
        <f>VLOOKUP($A111,#REF!,11,0)</f>
        <v>#REF!</v>
      </c>
      <c r="U111" s="49"/>
      <c r="V111" s="48" t="e">
        <f>VLOOKUP($A111,#REF!,12,0)</f>
        <v>#REF!</v>
      </c>
      <c r="W111" s="49"/>
      <c r="X111" s="48" t="e">
        <f>VLOOKUP($A111,#REF!,13,0)</f>
        <v>#REF!</v>
      </c>
      <c r="Y111" s="49"/>
      <c r="Z111" s="48" t="e">
        <f>VLOOKUP($A111,#REF!,14,0)</f>
        <v>#REF!</v>
      </c>
      <c r="AA111" s="49"/>
    </row>
    <row r="112" spans="1:27" ht="15.75" outlineLevel="1">
      <c r="A112" s="47" t="s">
        <v>18</v>
      </c>
      <c r="B112" s="48" t="e">
        <f>VLOOKUP($A112,#REF!,2,0)</f>
        <v>#REF!</v>
      </c>
      <c r="C112" s="49"/>
      <c r="D112" s="48" t="e">
        <f>VLOOKUP($A112,#REF!,3,0)</f>
        <v>#REF!</v>
      </c>
      <c r="E112" s="49"/>
      <c r="F112" s="48" t="e">
        <f>VLOOKUP($A112,#REF!,4,0)</f>
        <v>#REF!</v>
      </c>
      <c r="G112" s="49"/>
      <c r="H112" s="48" t="e">
        <f>VLOOKUP($A112,#REF!,5,0)</f>
        <v>#REF!</v>
      </c>
      <c r="I112" s="49"/>
      <c r="J112" s="48" t="e">
        <f>VLOOKUP($A112,#REF!,6,0)</f>
        <v>#REF!</v>
      </c>
      <c r="K112" s="49"/>
      <c r="L112" s="48" t="e">
        <f>VLOOKUP($A112,#REF!,7,0)</f>
        <v>#REF!</v>
      </c>
      <c r="M112" s="49"/>
      <c r="N112" s="48" t="e">
        <f>VLOOKUP($A112,#REF!,8,0)</f>
        <v>#REF!</v>
      </c>
      <c r="O112" s="49"/>
      <c r="P112" s="48" t="e">
        <f>VLOOKUP($A112,#REF!,9,0)</f>
        <v>#REF!</v>
      </c>
      <c r="Q112" s="49"/>
      <c r="R112" s="48" t="e">
        <f>VLOOKUP($A112,#REF!,10,0)</f>
        <v>#REF!</v>
      </c>
      <c r="S112" s="49"/>
      <c r="T112" s="48" t="e">
        <f>VLOOKUP($A112,#REF!,11,0)</f>
        <v>#REF!</v>
      </c>
      <c r="U112" s="49"/>
      <c r="V112" s="48" t="e">
        <f>VLOOKUP($A112,#REF!,12,0)</f>
        <v>#REF!</v>
      </c>
      <c r="W112" s="49"/>
      <c r="X112" s="48" t="e">
        <f>VLOOKUP($A112,#REF!,13,0)</f>
        <v>#REF!</v>
      </c>
      <c r="Y112" s="49"/>
      <c r="Z112" s="48" t="e">
        <f>VLOOKUP($A112,#REF!,14,0)</f>
        <v>#REF!</v>
      </c>
      <c r="AA112" s="49"/>
    </row>
    <row r="113" spans="1:27" ht="15.75" outlineLevel="1">
      <c r="A113" s="47" t="s">
        <v>12</v>
      </c>
      <c r="B113" s="48" t="e">
        <f>VLOOKUP($A113,#REF!,2,0)</f>
        <v>#REF!</v>
      </c>
      <c r="C113" s="49"/>
      <c r="D113" s="48" t="e">
        <f>VLOOKUP($A113,#REF!,3,0)</f>
        <v>#REF!</v>
      </c>
      <c r="E113" s="49"/>
      <c r="F113" s="48" t="e">
        <f>VLOOKUP($A113,#REF!,4,0)</f>
        <v>#REF!</v>
      </c>
      <c r="G113" s="49"/>
      <c r="H113" s="48" t="e">
        <f>VLOOKUP($A113,#REF!,5,0)</f>
        <v>#REF!</v>
      </c>
      <c r="I113" s="49"/>
      <c r="J113" s="48" t="e">
        <f>VLOOKUP($A113,#REF!,6,0)</f>
        <v>#REF!</v>
      </c>
      <c r="K113" s="49"/>
      <c r="L113" s="48" t="e">
        <f>VLOOKUP($A113,#REF!,7,0)</f>
        <v>#REF!</v>
      </c>
      <c r="M113" s="49"/>
      <c r="N113" s="48" t="e">
        <f>VLOOKUP($A113,#REF!,8,0)</f>
        <v>#REF!</v>
      </c>
      <c r="O113" s="49"/>
      <c r="P113" s="48" t="e">
        <f>VLOOKUP($A113,#REF!,9,0)</f>
        <v>#REF!</v>
      </c>
      <c r="Q113" s="49"/>
      <c r="R113" s="48" t="e">
        <f>VLOOKUP($A113,#REF!,10,0)</f>
        <v>#REF!</v>
      </c>
      <c r="S113" s="49"/>
      <c r="T113" s="48" t="e">
        <f>VLOOKUP($A113,#REF!,11,0)</f>
        <v>#REF!</v>
      </c>
      <c r="U113" s="49"/>
      <c r="V113" s="48" t="e">
        <f>VLOOKUP($A113,#REF!,12,0)</f>
        <v>#REF!</v>
      </c>
      <c r="W113" s="49"/>
      <c r="X113" s="48" t="e">
        <f>VLOOKUP($A113,#REF!,13,0)</f>
        <v>#REF!</v>
      </c>
      <c r="Y113" s="49"/>
      <c r="Z113" s="48" t="e">
        <f>VLOOKUP($A113,#REF!,14,0)</f>
        <v>#REF!</v>
      </c>
      <c r="AA113" s="49"/>
    </row>
    <row r="114" spans="1:27" ht="15.75" outlineLevel="1">
      <c r="A114" s="47" t="s">
        <v>57</v>
      </c>
      <c r="B114" s="48">
        <v>0</v>
      </c>
      <c r="C114" s="49"/>
      <c r="D114" s="48">
        <v>0</v>
      </c>
      <c r="E114" s="49"/>
      <c r="F114" s="48">
        <v>0</v>
      </c>
      <c r="G114" s="49"/>
      <c r="H114" s="48">
        <v>0</v>
      </c>
      <c r="I114" s="49"/>
      <c r="J114" s="48">
        <v>0</v>
      </c>
      <c r="K114" s="49"/>
      <c r="L114" s="48">
        <v>0</v>
      </c>
      <c r="M114" s="49"/>
      <c r="N114" s="48">
        <v>0</v>
      </c>
      <c r="O114" s="49"/>
      <c r="P114" s="48">
        <v>0</v>
      </c>
      <c r="Q114" s="49"/>
      <c r="R114" s="48">
        <v>0</v>
      </c>
      <c r="S114" s="49"/>
      <c r="T114" s="48">
        <v>0</v>
      </c>
      <c r="U114" s="49"/>
      <c r="V114" s="48">
        <v>0</v>
      </c>
      <c r="W114" s="49"/>
      <c r="X114" s="48">
        <v>0</v>
      </c>
      <c r="Y114" s="49"/>
      <c r="Z114" s="48">
        <v>0</v>
      </c>
      <c r="AA114" s="49"/>
    </row>
    <row r="115" spans="1:27" ht="8.25" customHeight="1" thickBot="1">
      <c r="C115" s="51"/>
      <c r="E115" s="51"/>
      <c r="G115" s="51"/>
      <c r="I115" s="51"/>
      <c r="K115" s="51"/>
      <c r="M115" s="51"/>
      <c r="O115" s="51"/>
      <c r="Q115" s="51"/>
      <c r="S115" s="51"/>
      <c r="U115" s="51"/>
      <c r="W115" s="51"/>
      <c r="Y115" s="51"/>
      <c r="AA115" s="51"/>
    </row>
    <row r="116" spans="1:27" ht="21.75" thickBot="1">
      <c r="A116" s="38" t="s">
        <v>466</v>
      </c>
      <c r="B116" s="39" t="e">
        <f>B46-B48-B66-B87-B99</f>
        <v>#REF!</v>
      </c>
      <c r="C116" s="40" t="e">
        <f>B116/B$13</f>
        <v>#REF!</v>
      </c>
      <c r="D116" s="39" t="e">
        <f>D46-D48-D66-D87-D99</f>
        <v>#REF!</v>
      </c>
      <c r="E116" s="40" t="e">
        <f>D116/D$13</f>
        <v>#REF!</v>
      </c>
      <c r="F116" s="39" t="e">
        <f>F46-F48-F66-F87-F99</f>
        <v>#REF!</v>
      </c>
      <c r="G116" s="40" t="e">
        <f>F116/F$13</f>
        <v>#REF!</v>
      </c>
      <c r="H116" s="39" t="e">
        <f>H46-H48-H66-H87-H99</f>
        <v>#REF!</v>
      </c>
      <c r="I116" s="40" t="e">
        <f>H116/H$13</f>
        <v>#REF!</v>
      </c>
      <c r="J116" s="39" t="e">
        <f>J46-J48-J66-J87-J99</f>
        <v>#REF!</v>
      </c>
      <c r="K116" s="40" t="e">
        <f>J116/J$13</f>
        <v>#REF!</v>
      </c>
      <c r="L116" s="39" t="e">
        <f>L46-L48-L66-L87-L99</f>
        <v>#REF!</v>
      </c>
      <c r="M116" s="40" t="e">
        <f>L116/L$13</f>
        <v>#REF!</v>
      </c>
      <c r="N116" s="39" t="e">
        <f>N46-N48-N66-N87-N99</f>
        <v>#REF!</v>
      </c>
      <c r="O116" s="40" t="e">
        <f>N116/N$13</f>
        <v>#REF!</v>
      </c>
      <c r="P116" s="39" t="e">
        <f>P46-P48-P66-P87-P99</f>
        <v>#REF!</v>
      </c>
      <c r="Q116" s="40" t="e">
        <f>P116/P$13</f>
        <v>#REF!</v>
      </c>
      <c r="R116" s="39" t="e">
        <f>R46-R48-R66-R87-R99</f>
        <v>#REF!</v>
      </c>
      <c r="S116" s="40" t="e">
        <f>R116/R$13</f>
        <v>#REF!</v>
      </c>
      <c r="T116" s="39" t="e">
        <f>T46-T48-T66-T87-T99</f>
        <v>#REF!</v>
      </c>
      <c r="U116" s="40" t="e">
        <f>T116/T$13</f>
        <v>#REF!</v>
      </c>
      <c r="V116" s="39" t="e">
        <f>V46-V48-V66-V87-V99</f>
        <v>#REF!</v>
      </c>
      <c r="W116" s="40" t="e">
        <f>V116/V$13</f>
        <v>#REF!</v>
      </c>
      <c r="X116" s="39" t="e">
        <f>X46-X48-X66-X87-X99</f>
        <v>#REF!</v>
      </c>
      <c r="Y116" s="40" t="e">
        <f>X116/X$13</f>
        <v>#REF!</v>
      </c>
      <c r="Z116" s="39" t="e">
        <f>Z46-Z48-Z66-Z87-Z99</f>
        <v>#REF!</v>
      </c>
      <c r="AA116" s="40" t="e">
        <f>Z116/Z$13</f>
        <v>#REF!</v>
      </c>
    </row>
    <row r="117" spans="1:27" ht="8.25" customHeight="1" thickBot="1">
      <c r="C117" s="51"/>
      <c r="E117" s="51"/>
      <c r="G117" s="51"/>
      <c r="I117" s="51"/>
      <c r="K117" s="51"/>
      <c r="M117" s="51"/>
      <c r="O117" s="51"/>
      <c r="Q117" s="51"/>
      <c r="S117" s="51"/>
      <c r="U117" s="51"/>
      <c r="W117" s="51"/>
      <c r="Y117" s="51"/>
      <c r="AA117" s="51"/>
    </row>
    <row r="118" spans="1:27" ht="21.75" thickBot="1">
      <c r="A118" s="44" t="s">
        <v>444</v>
      </c>
      <c r="B118" s="45" t="e">
        <f>SUM(B119:B134)</f>
        <v>#REF!</v>
      </c>
      <c r="C118" s="46" t="e">
        <f>B118/B$10</f>
        <v>#REF!</v>
      </c>
      <c r="D118" s="45" t="e">
        <f>SUM(D119:D134)</f>
        <v>#REF!</v>
      </c>
      <c r="E118" s="46" t="e">
        <f>D118/D$10</f>
        <v>#REF!</v>
      </c>
      <c r="F118" s="45" t="e">
        <f>SUM(F119:F134)</f>
        <v>#REF!</v>
      </c>
      <c r="G118" s="46" t="e">
        <f>F118/F$10</f>
        <v>#REF!</v>
      </c>
      <c r="H118" s="45" t="e">
        <f>SUM(H119:H134)</f>
        <v>#REF!</v>
      </c>
      <c r="I118" s="46" t="e">
        <f>H118/H$10</f>
        <v>#REF!</v>
      </c>
      <c r="J118" s="45" t="e">
        <f>SUM(J119:J134)</f>
        <v>#REF!</v>
      </c>
      <c r="K118" s="46" t="e">
        <f>J118/J$10</f>
        <v>#REF!</v>
      </c>
      <c r="L118" s="45" t="e">
        <f>SUM(L119:L134)</f>
        <v>#REF!</v>
      </c>
      <c r="M118" s="46" t="e">
        <f>L118/L$10</f>
        <v>#REF!</v>
      </c>
      <c r="N118" s="45" t="e">
        <f>SUM(N119:N134)</f>
        <v>#REF!</v>
      </c>
      <c r="O118" s="46" t="e">
        <f>N118/N$10</f>
        <v>#REF!</v>
      </c>
      <c r="P118" s="45" t="e">
        <f>SUM(P119:P134)</f>
        <v>#REF!</v>
      </c>
      <c r="Q118" s="46" t="e">
        <f>P118/P$10</f>
        <v>#REF!</v>
      </c>
      <c r="R118" s="45" t="e">
        <f>SUM(R119:R134)</f>
        <v>#REF!</v>
      </c>
      <c r="S118" s="46" t="e">
        <f>R118/R$10</f>
        <v>#REF!</v>
      </c>
      <c r="T118" s="45" t="e">
        <f>SUM(T119:T134)</f>
        <v>#REF!</v>
      </c>
      <c r="U118" s="46" t="e">
        <f>T118/T$10</f>
        <v>#REF!</v>
      </c>
      <c r="V118" s="45" t="e">
        <f>SUM(V119:V134)</f>
        <v>#REF!</v>
      </c>
      <c r="W118" s="46" t="e">
        <f>V118/V$10</f>
        <v>#REF!</v>
      </c>
      <c r="X118" s="45" t="e">
        <f>SUM(X119:X134)</f>
        <v>#REF!</v>
      </c>
      <c r="Y118" s="46" t="e">
        <f>X118/X$10</f>
        <v>#REF!</v>
      </c>
      <c r="Z118" s="45" t="e">
        <f>SUM(Z119:Z134)</f>
        <v>#REF!</v>
      </c>
      <c r="AA118" s="46" t="e">
        <f>Z118/Z$10</f>
        <v>#REF!</v>
      </c>
    </row>
    <row r="119" spans="1:27" ht="15.75" outlineLevel="1">
      <c r="A119" s="47" t="s">
        <v>148</v>
      </c>
      <c r="B119" s="48" t="e">
        <f>VLOOKUP($A119,#REF!,2,0)</f>
        <v>#REF!</v>
      </c>
      <c r="C119" s="49"/>
      <c r="D119" s="48" t="e">
        <f>VLOOKUP($A119,#REF!,3,0)</f>
        <v>#REF!</v>
      </c>
      <c r="E119" s="49"/>
      <c r="F119" s="48" t="e">
        <f>VLOOKUP($A119,#REF!,4,0)</f>
        <v>#REF!</v>
      </c>
      <c r="G119" s="49"/>
      <c r="H119" s="48" t="e">
        <f>VLOOKUP($A119,#REF!,5,0)</f>
        <v>#REF!</v>
      </c>
      <c r="I119" s="49"/>
      <c r="J119" s="48" t="e">
        <f>VLOOKUP($A119,#REF!,6,0)</f>
        <v>#REF!</v>
      </c>
      <c r="K119" s="49"/>
      <c r="L119" s="48" t="e">
        <f>VLOOKUP($A119,#REF!,7,0)</f>
        <v>#REF!</v>
      </c>
      <c r="M119" s="49"/>
      <c r="N119" s="48" t="e">
        <f>VLOOKUP($A119,#REF!,8,0)</f>
        <v>#REF!</v>
      </c>
      <c r="O119" s="49"/>
      <c r="P119" s="48" t="e">
        <f>VLOOKUP($A119,#REF!,9,0)</f>
        <v>#REF!</v>
      </c>
      <c r="Q119" s="49"/>
      <c r="R119" s="48" t="e">
        <f>VLOOKUP($A119,#REF!,10,0)</f>
        <v>#REF!</v>
      </c>
      <c r="S119" s="49"/>
      <c r="T119" s="48" t="e">
        <f>VLOOKUP($A119,#REF!,11,0)</f>
        <v>#REF!</v>
      </c>
      <c r="U119" s="49"/>
      <c r="V119" s="48" t="e">
        <f>VLOOKUP($A119,#REF!,12,0)</f>
        <v>#REF!</v>
      </c>
      <c r="W119" s="49"/>
      <c r="X119" s="48" t="e">
        <f>VLOOKUP($A119,#REF!,13,0)</f>
        <v>#REF!</v>
      </c>
      <c r="Y119" s="49"/>
      <c r="Z119" s="48" t="e">
        <f>VLOOKUP($A119,#REF!,14,0)</f>
        <v>#REF!</v>
      </c>
      <c r="AA119" s="49"/>
    </row>
    <row r="120" spans="1:27" ht="15.75" outlineLevel="1">
      <c r="A120" s="47" t="s">
        <v>149</v>
      </c>
      <c r="B120" s="48" t="e">
        <f>VLOOKUP($A120,#REF!,2,0)</f>
        <v>#REF!</v>
      </c>
      <c r="C120" s="49"/>
      <c r="D120" s="48" t="e">
        <f>VLOOKUP($A120,#REF!,3,0)</f>
        <v>#REF!</v>
      </c>
      <c r="E120" s="49"/>
      <c r="F120" s="48" t="e">
        <f>VLOOKUP($A120,#REF!,4,0)</f>
        <v>#REF!</v>
      </c>
      <c r="G120" s="49"/>
      <c r="H120" s="48" t="e">
        <f>VLOOKUP($A120,#REF!,5,0)</f>
        <v>#REF!</v>
      </c>
      <c r="I120" s="49"/>
      <c r="J120" s="48" t="e">
        <f>VLOOKUP($A120,#REF!,6,0)</f>
        <v>#REF!</v>
      </c>
      <c r="K120" s="49"/>
      <c r="L120" s="48" t="e">
        <f>VLOOKUP($A120,#REF!,7,0)</f>
        <v>#REF!</v>
      </c>
      <c r="M120" s="49"/>
      <c r="N120" s="48" t="e">
        <f>VLOOKUP($A120,#REF!,8,0)</f>
        <v>#REF!</v>
      </c>
      <c r="O120" s="49"/>
      <c r="P120" s="48" t="e">
        <f>VLOOKUP($A120,#REF!,9,0)</f>
        <v>#REF!</v>
      </c>
      <c r="Q120" s="49"/>
      <c r="R120" s="48" t="e">
        <f>VLOOKUP($A120,#REF!,10,0)</f>
        <v>#REF!</v>
      </c>
      <c r="S120" s="49"/>
      <c r="T120" s="48" t="e">
        <f>VLOOKUP($A120,#REF!,11,0)</f>
        <v>#REF!</v>
      </c>
      <c r="U120" s="49"/>
      <c r="V120" s="48" t="e">
        <f>VLOOKUP($A120,#REF!,12,0)</f>
        <v>#REF!</v>
      </c>
      <c r="W120" s="49"/>
      <c r="X120" s="48" t="e">
        <f>VLOOKUP($A120,#REF!,13,0)</f>
        <v>#REF!</v>
      </c>
      <c r="Y120" s="49"/>
      <c r="Z120" s="48" t="e">
        <f>VLOOKUP($A120,#REF!,14,0)</f>
        <v>#REF!</v>
      </c>
      <c r="AA120" s="49"/>
    </row>
    <row r="121" spans="1:27" ht="15.75" outlineLevel="1">
      <c r="A121" s="47" t="s">
        <v>25</v>
      </c>
      <c r="B121" s="48" t="e">
        <f>VLOOKUP($A121,#REF!,2,0)</f>
        <v>#REF!</v>
      </c>
      <c r="C121" s="49"/>
      <c r="D121" s="48" t="e">
        <f>VLOOKUP($A121,#REF!,3,0)</f>
        <v>#REF!</v>
      </c>
      <c r="E121" s="49"/>
      <c r="F121" s="48" t="e">
        <f>VLOOKUP($A121,#REF!,4,0)</f>
        <v>#REF!</v>
      </c>
      <c r="G121" s="49"/>
      <c r="H121" s="48" t="e">
        <f>VLOOKUP($A121,#REF!,5,0)</f>
        <v>#REF!</v>
      </c>
      <c r="I121" s="49"/>
      <c r="J121" s="48" t="e">
        <f>VLOOKUP($A121,#REF!,6,0)</f>
        <v>#REF!</v>
      </c>
      <c r="K121" s="49"/>
      <c r="L121" s="48" t="e">
        <f>VLOOKUP($A121,#REF!,7,0)</f>
        <v>#REF!</v>
      </c>
      <c r="M121" s="49"/>
      <c r="N121" s="48" t="e">
        <f>VLOOKUP($A121,#REF!,8,0)</f>
        <v>#REF!</v>
      </c>
      <c r="O121" s="49"/>
      <c r="P121" s="48" t="e">
        <f>VLOOKUP($A121,#REF!,9,0)</f>
        <v>#REF!</v>
      </c>
      <c r="Q121" s="49"/>
      <c r="R121" s="48" t="e">
        <f>VLOOKUP($A121,#REF!,10,0)</f>
        <v>#REF!</v>
      </c>
      <c r="S121" s="49"/>
      <c r="T121" s="48" t="e">
        <f>VLOOKUP($A121,#REF!,11,0)</f>
        <v>#REF!</v>
      </c>
      <c r="U121" s="49"/>
      <c r="V121" s="48" t="e">
        <f>VLOOKUP($A121,#REF!,12,0)</f>
        <v>#REF!</v>
      </c>
      <c r="W121" s="49"/>
      <c r="X121" s="48" t="e">
        <f>VLOOKUP($A121,#REF!,13,0)</f>
        <v>#REF!</v>
      </c>
      <c r="Y121" s="49"/>
      <c r="Z121" s="48" t="e">
        <f>VLOOKUP($A121,#REF!,14,0)</f>
        <v>#REF!</v>
      </c>
      <c r="AA121" s="49"/>
    </row>
    <row r="122" spans="1:27" ht="15.75" outlineLevel="1">
      <c r="A122" s="47" t="s">
        <v>37</v>
      </c>
      <c r="B122" s="48" t="e">
        <f>VLOOKUP($A122,#REF!,2,0)</f>
        <v>#REF!</v>
      </c>
      <c r="C122" s="49"/>
      <c r="D122" s="48" t="e">
        <f>VLOOKUP($A122,#REF!,3,0)</f>
        <v>#REF!</v>
      </c>
      <c r="E122" s="49"/>
      <c r="F122" s="48" t="e">
        <f>VLOOKUP($A122,#REF!,4,0)</f>
        <v>#REF!</v>
      </c>
      <c r="G122" s="49"/>
      <c r="H122" s="48" t="e">
        <f>VLOOKUP($A122,#REF!,5,0)</f>
        <v>#REF!</v>
      </c>
      <c r="I122" s="49"/>
      <c r="J122" s="48" t="e">
        <f>VLOOKUP($A122,#REF!,6,0)</f>
        <v>#REF!</v>
      </c>
      <c r="K122" s="49"/>
      <c r="L122" s="48" t="e">
        <f>VLOOKUP($A122,#REF!,7,0)</f>
        <v>#REF!</v>
      </c>
      <c r="M122" s="49"/>
      <c r="N122" s="48" t="e">
        <f>VLOOKUP($A122,#REF!,8,0)</f>
        <v>#REF!</v>
      </c>
      <c r="O122" s="49"/>
      <c r="P122" s="48" t="e">
        <f>VLOOKUP($A122,#REF!,9,0)</f>
        <v>#REF!</v>
      </c>
      <c r="Q122" s="49"/>
      <c r="R122" s="48" t="e">
        <f>VLOOKUP($A122,#REF!,10,0)</f>
        <v>#REF!</v>
      </c>
      <c r="S122" s="49"/>
      <c r="T122" s="48" t="e">
        <f>VLOOKUP($A122,#REF!,11,0)</f>
        <v>#REF!</v>
      </c>
      <c r="U122" s="49"/>
      <c r="V122" s="48" t="e">
        <f>VLOOKUP($A122,#REF!,12,0)</f>
        <v>#REF!</v>
      </c>
      <c r="W122" s="49"/>
      <c r="X122" s="48" t="e">
        <f>VLOOKUP($A122,#REF!,13,0)</f>
        <v>#REF!</v>
      </c>
      <c r="Y122" s="49"/>
      <c r="Z122" s="48" t="e">
        <f>VLOOKUP($A122,#REF!,14,0)</f>
        <v>#REF!</v>
      </c>
      <c r="AA122" s="49"/>
    </row>
    <row r="123" spans="1:27" ht="15.75" outlineLevel="1">
      <c r="A123" s="47" t="s">
        <v>20</v>
      </c>
      <c r="B123" s="48" t="e">
        <f>VLOOKUP($A123,#REF!,2,0)</f>
        <v>#REF!</v>
      </c>
      <c r="C123" s="49"/>
      <c r="D123" s="48" t="e">
        <f>VLOOKUP($A123,#REF!,3,0)</f>
        <v>#REF!</v>
      </c>
      <c r="E123" s="49"/>
      <c r="F123" s="48" t="e">
        <f>VLOOKUP($A123,#REF!,4,0)</f>
        <v>#REF!</v>
      </c>
      <c r="G123" s="49"/>
      <c r="H123" s="48" t="e">
        <f>VLOOKUP($A123,#REF!,5,0)</f>
        <v>#REF!</v>
      </c>
      <c r="I123" s="49"/>
      <c r="J123" s="48" t="e">
        <f>VLOOKUP($A123,#REF!,6,0)</f>
        <v>#REF!</v>
      </c>
      <c r="K123" s="49"/>
      <c r="L123" s="48" t="e">
        <f>VLOOKUP($A123,#REF!,7,0)</f>
        <v>#REF!</v>
      </c>
      <c r="M123" s="49"/>
      <c r="N123" s="48" t="e">
        <f>VLOOKUP($A123,#REF!,8,0)</f>
        <v>#REF!</v>
      </c>
      <c r="O123" s="49"/>
      <c r="P123" s="48" t="e">
        <f>VLOOKUP($A123,#REF!,9,0)</f>
        <v>#REF!</v>
      </c>
      <c r="Q123" s="49"/>
      <c r="R123" s="48" t="e">
        <f>VLOOKUP($A123,#REF!,10,0)</f>
        <v>#REF!</v>
      </c>
      <c r="S123" s="49"/>
      <c r="T123" s="48" t="e">
        <f>VLOOKUP($A123,#REF!,11,0)</f>
        <v>#REF!</v>
      </c>
      <c r="U123" s="49"/>
      <c r="V123" s="48" t="e">
        <f>VLOOKUP($A123,#REF!,12,0)</f>
        <v>#REF!</v>
      </c>
      <c r="W123" s="49"/>
      <c r="X123" s="48" t="e">
        <f>VLOOKUP($A123,#REF!,13,0)</f>
        <v>#REF!</v>
      </c>
      <c r="Y123" s="49"/>
      <c r="Z123" s="48" t="e">
        <f>VLOOKUP($A123,#REF!,14,0)</f>
        <v>#REF!</v>
      </c>
      <c r="AA123" s="49"/>
    </row>
    <row r="124" spans="1:27" ht="15.75" outlineLevel="1">
      <c r="A124" s="47" t="s">
        <v>327</v>
      </c>
      <c r="B124" s="48" t="e">
        <f>VLOOKUP($A124,#REF!,2,0)</f>
        <v>#REF!</v>
      </c>
      <c r="C124" s="49"/>
      <c r="D124" s="48" t="e">
        <f>VLOOKUP($A124,#REF!,3,0)</f>
        <v>#REF!</v>
      </c>
      <c r="E124" s="49"/>
      <c r="F124" s="48" t="e">
        <f>VLOOKUP($A124,#REF!,4,0)</f>
        <v>#REF!</v>
      </c>
      <c r="G124" s="49"/>
      <c r="H124" s="48" t="e">
        <f>VLOOKUP($A124,#REF!,5,0)</f>
        <v>#REF!</v>
      </c>
      <c r="I124" s="49"/>
      <c r="J124" s="48" t="e">
        <f>VLOOKUP($A124,#REF!,6,0)</f>
        <v>#REF!</v>
      </c>
      <c r="K124" s="49"/>
      <c r="L124" s="48" t="e">
        <f>VLOOKUP($A124,#REF!,7,0)</f>
        <v>#REF!</v>
      </c>
      <c r="M124" s="49"/>
      <c r="N124" s="48" t="e">
        <f>VLOOKUP($A124,#REF!,8,0)</f>
        <v>#REF!</v>
      </c>
      <c r="O124" s="49"/>
      <c r="P124" s="48" t="e">
        <f>VLOOKUP($A124,#REF!,9,0)</f>
        <v>#REF!</v>
      </c>
      <c r="Q124" s="49"/>
      <c r="R124" s="48" t="e">
        <f>VLOOKUP($A124,#REF!,10,0)</f>
        <v>#REF!</v>
      </c>
      <c r="S124" s="49"/>
      <c r="T124" s="48" t="e">
        <f>VLOOKUP($A124,#REF!,11,0)</f>
        <v>#REF!</v>
      </c>
      <c r="U124" s="49"/>
      <c r="V124" s="48" t="e">
        <f>VLOOKUP($A124,#REF!,12,0)</f>
        <v>#REF!</v>
      </c>
      <c r="W124" s="49"/>
      <c r="X124" s="48" t="e">
        <f>VLOOKUP($A124,#REF!,13,0)</f>
        <v>#REF!</v>
      </c>
      <c r="Y124" s="49"/>
      <c r="Z124" s="48" t="e">
        <f>VLOOKUP($A124,#REF!,14,0)</f>
        <v>#REF!</v>
      </c>
      <c r="AA124" s="49"/>
    </row>
    <row r="125" spans="1:27" ht="15.75" outlineLevel="1">
      <c r="A125" s="47" t="s">
        <v>27</v>
      </c>
      <c r="B125" s="48" t="e">
        <f>VLOOKUP($A125,#REF!,2,0)</f>
        <v>#REF!</v>
      </c>
      <c r="C125" s="49"/>
      <c r="D125" s="48" t="e">
        <f>VLOOKUP($A125,#REF!,3,0)</f>
        <v>#REF!</v>
      </c>
      <c r="E125" s="49"/>
      <c r="F125" s="48" t="e">
        <f>VLOOKUP($A125,#REF!,4,0)</f>
        <v>#REF!</v>
      </c>
      <c r="G125" s="49"/>
      <c r="H125" s="48" t="e">
        <f>VLOOKUP($A125,#REF!,5,0)</f>
        <v>#REF!</v>
      </c>
      <c r="I125" s="49"/>
      <c r="J125" s="48" t="e">
        <f>VLOOKUP($A125,#REF!,6,0)</f>
        <v>#REF!</v>
      </c>
      <c r="K125" s="49"/>
      <c r="L125" s="48" t="e">
        <f>VLOOKUP($A125,#REF!,7,0)</f>
        <v>#REF!</v>
      </c>
      <c r="M125" s="49"/>
      <c r="N125" s="48" t="e">
        <f>VLOOKUP($A125,#REF!,8,0)</f>
        <v>#REF!</v>
      </c>
      <c r="O125" s="49"/>
      <c r="P125" s="48" t="e">
        <f>VLOOKUP($A125,#REF!,9,0)</f>
        <v>#REF!</v>
      </c>
      <c r="Q125" s="49"/>
      <c r="R125" s="48" t="e">
        <f>VLOOKUP($A125,#REF!,10,0)</f>
        <v>#REF!</v>
      </c>
      <c r="S125" s="49"/>
      <c r="T125" s="48" t="e">
        <f>VLOOKUP($A125,#REF!,11,0)</f>
        <v>#REF!</v>
      </c>
      <c r="U125" s="49"/>
      <c r="V125" s="48" t="e">
        <f>VLOOKUP($A125,#REF!,12,0)</f>
        <v>#REF!</v>
      </c>
      <c r="W125" s="49"/>
      <c r="X125" s="48" t="e">
        <f>VLOOKUP($A125,#REF!,13,0)</f>
        <v>#REF!</v>
      </c>
      <c r="Y125" s="49"/>
      <c r="Z125" s="48" t="e">
        <f>VLOOKUP($A125,#REF!,14,0)</f>
        <v>#REF!</v>
      </c>
      <c r="AA125" s="49"/>
    </row>
    <row r="126" spans="1:27" ht="15.75" outlineLevel="1">
      <c r="A126" s="47" t="s">
        <v>138</v>
      </c>
      <c r="B126" s="48">
        <v>0</v>
      </c>
      <c r="C126" s="49"/>
      <c r="D126" s="48">
        <v>0</v>
      </c>
      <c r="E126" s="49"/>
      <c r="F126" s="48">
        <v>0</v>
      </c>
      <c r="G126" s="49"/>
      <c r="H126" s="48">
        <v>0</v>
      </c>
      <c r="I126" s="49"/>
      <c r="J126" s="48">
        <v>0</v>
      </c>
      <c r="K126" s="49"/>
      <c r="L126" s="48">
        <v>0</v>
      </c>
      <c r="M126" s="49"/>
      <c r="N126" s="48">
        <v>0</v>
      </c>
      <c r="O126" s="49"/>
      <c r="P126" s="48">
        <v>0</v>
      </c>
      <c r="Q126" s="49"/>
      <c r="R126" s="48">
        <v>0</v>
      </c>
      <c r="S126" s="49"/>
      <c r="T126" s="48">
        <v>0</v>
      </c>
      <c r="U126" s="49"/>
      <c r="V126" s="48">
        <v>0</v>
      </c>
      <c r="W126" s="49"/>
      <c r="X126" s="48">
        <v>0</v>
      </c>
      <c r="Y126" s="49"/>
      <c r="Z126" s="48">
        <v>0</v>
      </c>
      <c r="AA126" s="49"/>
    </row>
    <row r="127" spans="1:27" ht="15.75" outlineLevel="1">
      <c r="A127" s="47" t="s">
        <v>57</v>
      </c>
      <c r="B127" s="48" t="e">
        <f>VLOOKUP($A127,#REF!,2,0)</f>
        <v>#REF!</v>
      </c>
      <c r="C127" s="49"/>
      <c r="D127" s="48" t="e">
        <f>VLOOKUP($A127,#REF!,3,0)</f>
        <v>#REF!</v>
      </c>
      <c r="E127" s="49"/>
      <c r="F127" s="48" t="e">
        <f>VLOOKUP($A127,#REF!,4,0)</f>
        <v>#REF!</v>
      </c>
      <c r="G127" s="49"/>
      <c r="H127" s="48" t="e">
        <f>VLOOKUP($A127,#REF!,5,0)</f>
        <v>#REF!</v>
      </c>
      <c r="I127" s="49"/>
      <c r="J127" s="48" t="e">
        <f>VLOOKUP($A127,#REF!,6,0)</f>
        <v>#REF!</v>
      </c>
      <c r="K127" s="49"/>
      <c r="L127" s="48" t="e">
        <f>VLOOKUP($A127,#REF!,7,0)</f>
        <v>#REF!</v>
      </c>
      <c r="M127" s="49"/>
      <c r="N127" s="48" t="e">
        <f>VLOOKUP($A127,#REF!,8,0)</f>
        <v>#REF!</v>
      </c>
      <c r="O127" s="49"/>
      <c r="P127" s="48" t="e">
        <f>VLOOKUP($A127,#REF!,9,0)</f>
        <v>#REF!</v>
      </c>
      <c r="Q127" s="49"/>
      <c r="R127" s="48" t="e">
        <f>VLOOKUP($A127,#REF!,10,0)</f>
        <v>#REF!</v>
      </c>
      <c r="S127" s="49"/>
      <c r="T127" s="48" t="e">
        <f>VLOOKUP($A127,#REF!,11,0)</f>
        <v>#REF!</v>
      </c>
      <c r="U127" s="49"/>
      <c r="V127" s="48" t="e">
        <f>VLOOKUP($A127,#REF!,12,0)</f>
        <v>#REF!</v>
      </c>
      <c r="W127" s="49"/>
      <c r="X127" s="48" t="e">
        <f>VLOOKUP($A127,#REF!,13,0)</f>
        <v>#REF!</v>
      </c>
      <c r="Y127" s="49"/>
      <c r="Z127" s="48" t="e">
        <f>VLOOKUP($A127,#REF!,14,0)</f>
        <v>#REF!</v>
      </c>
      <c r="AA127" s="49"/>
    </row>
    <row r="128" spans="1:27" ht="15.75" outlineLevel="1">
      <c r="A128" s="47" t="s">
        <v>22</v>
      </c>
      <c r="B128" s="48" t="e">
        <f>VLOOKUP($A128,#REF!,2,0)</f>
        <v>#REF!</v>
      </c>
      <c r="C128" s="49"/>
      <c r="D128" s="48" t="e">
        <f>VLOOKUP($A128,#REF!,3,0)</f>
        <v>#REF!</v>
      </c>
      <c r="E128" s="49"/>
      <c r="F128" s="48" t="e">
        <f>VLOOKUP($A128,#REF!,4,0)</f>
        <v>#REF!</v>
      </c>
      <c r="G128" s="49"/>
      <c r="H128" s="48" t="e">
        <f>VLOOKUP($A128,#REF!,5,0)</f>
        <v>#REF!</v>
      </c>
      <c r="I128" s="49"/>
      <c r="J128" s="48" t="e">
        <f>VLOOKUP($A128,#REF!,6,0)</f>
        <v>#REF!</v>
      </c>
      <c r="K128" s="49"/>
      <c r="L128" s="48" t="e">
        <f>VLOOKUP($A128,#REF!,7,0)</f>
        <v>#REF!</v>
      </c>
      <c r="M128" s="49"/>
      <c r="N128" s="48" t="e">
        <f>VLOOKUP($A128,#REF!,8,0)</f>
        <v>#REF!</v>
      </c>
      <c r="O128" s="49"/>
      <c r="P128" s="48" t="e">
        <f>VLOOKUP($A128,#REF!,9,0)</f>
        <v>#REF!</v>
      </c>
      <c r="Q128" s="49"/>
      <c r="R128" s="48" t="e">
        <f>VLOOKUP($A128,#REF!,10,0)</f>
        <v>#REF!</v>
      </c>
      <c r="S128" s="49"/>
      <c r="T128" s="48" t="e">
        <f>VLOOKUP($A128,#REF!,11,0)</f>
        <v>#REF!</v>
      </c>
      <c r="U128" s="49"/>
      <c r="V128" s="48" t="e">
        <f>VLOOKUP($A128,#REF!,12,0)</f>
        <v>#REF!</v>
      </c>
      <c r="W128" s="49"/>
      <c r="X128" s="48" t="e">
        <f>VLOOKUP($A128,#REF!,13,0)</f>
        <v>#REF!</v>
      </c>
      <c r="Y128" s="49"/>
      <c r="Z128" s="48" t="e">
        <f>VLOOKUP($A128,#REF!,14,0)</f>
        <v>#REF!</v>
      </c>
      <c r="AA128" s="49"/>
    </row>
    <row r="129" spans="1:27" ht="15.75" outlineLevel="1">
      <c r="A129" s="47" t="s">
        <v>18</v>
      </c>
      <c r="B129" s="48" t="e">
        <f>VLOOKUP($A129,#REF!,2,0)</f>
        <v>#REF!</v>
      </c>
      <c r="C129" s="49"/>
      <c r="D129" s="48" t="e">
        <f>VLOOKUP($A129,#REF!,3,0)</f>
        <v>#REF!</v>
      </c>
      <c r="E129" s="49"/>
      <c r="F129" s="48" t="e">
        <f>VLOOKUP($A129,#REF!,4,0)</f>
        <v>#REF!</v>
      </c>
      <c r="G129" s="49"/>
      <c r="H129" s="48" t="e">
        <f>VLOOKUP($A129,#REF!,5,0)</f>
        <v>#REF!</v>
      </c>
      <c r="I129" s="49"/>
      <c r="J129" s="48" t="e">
        <f>VLOOKUP($A129,#REF!,6,0)</f>
        <v>#REF!</v>
      </c>
      <c r="K129" s="49"/>
      <c r="L129" s="48" t="e">
        <f>VLOOKUP($A129,#REF!,7,0)</f>
        <v>#REF!</v>
      </c>
      <c r="M129" s="49"/>
      <c r="N129" s="48" t="e">
        <f>VLOOKUP($A129,#REF!,8,0)</f>
        <v>#REF!</v>
      </c>
      <c r="O129" s="49"/>
      <c r="P129" s="48" t="e">
        <f>VLOOKUP($A129,#REF!,9,0)</f>
        <v>#REF!</v>
      </c>
      <c r="Q129" s="49"/>
      <c r="R129" s="48" t="e">
        <f>VLOOKUP($A129,#REF!,10,0)</f>
        <v>#REF!</v>
      </c>
      <c r="S129" s="49"/>
      <c r="T129" s="48" t="e">
        <f>VLOOKUP($A129,#REF!,11,0)</f>
        <v>#REF!</v>
      </c>
      <c r="U129" s="49"/>
      <c r="V129" s="48" t="e">
        <f>VLOOKUP($A129,#REF!,12,0)</f>
        <v>#REF!</v>
      </c>
      <c r="W129" s="49"/>
      <c r="X129" s="48" t="e">
        <f>VLOOKUP($A129,#REF!,13,0)</f>
        <v>#REF!</v>
      </c>
      <c r="Y129" s="49"/>
      <c r="Z129" s="48" t="e">
        <f>VLOOKUP($A129,#REF!,14,0)</f>
        <v>#REF!</v>
      </c>
      <c r="AA129" s="49"/>
    </row>
    <row r="130" spans="1:27" ht="15.75" outlineLevel="1">
      <c r="A130" s="47" t="s">
        <v>55</v>
      </c>
      <c r="B130" s="48" t="e">
        <f>VLOOKUP($A130,#REF!,2,0)</f>
        <v>#REF!</v>
      </c>
      <c r="C130" s="49"/>
      <c r="D130" s="48" t="e">
        <f>VLOOKUP($A130,#REF!,3,0)</f>
        <v>#REF!</v>
      </c>
      <c r="E130" s="49"/>
      <c r="F130" s="48" t="e">
        <f>VLOOKUP($A130,#REF!,4,0)</f>
        <v>#REF!</v>
      </c>
      <c r="G130" s="49"/>
      <c r="H130" s="48" t="e">
        <f>VLOOKUP($A130,#REF!,5,0)</f>
        <v>#REF!</v>
      </c>
      <c r="I130" s="49"/>
      <c r="J130" s="48" t="e">
        <f>VLOOKUP($A130,#REF!,6,0)</f>
        <v>#REF!</v>
      </c>
      <c r="K130" s="49"/>
      <c r="L130" s="48" t="e">
        <f>VLOOKUP($A130,#REF!,7,0)</f>
        <v>#REF!</v>
      </c>
      <c r="M130" s="49"/>
      <c r="N130" s="48" t="e">
        <f>VLOOKUP($A130,#REF!,8,0)</f>
        <v>#REF!</v>
      </c>
      <c r="O130" s="49"/>
      <c r="P130" s="48" t="e">
        <f>VLOOKUP($A130,#REF!,9,0)</f>
        <v>#REF!</v>
      </c>
      <c r="Q130" s="49"/>
      <c r="R130" s="48" t="e">
        <f>VLOOKUP($A130,#REF!,10,0)</f>
        <v>#REF!</v>
      </c>
      <c r="S130" s="49"/>
      <c r="T130" s="48" t="e">
        <f>VLOOKUP($A130,#REF!,11,0)</f>
        <v>#REF!</v>
      </c>
      <c r="U130" s="49"/>
      <c r="V130" s="48" t="e">
        <f>VLOOKUP($A130,#REF!,12,0)</f>
        <v>#REF!</v>
      </c>
      <c r="W130" s="49"/>
      <c r="X130" s="48" t="e">
        <f>VLOOKUP($A130,#REF!,13,0)</f>
        <v>#REF!</v>
      </c>
      <c r="Y130" s="49"/>
      <c r="Z130" s="48" t="e">
        <f>VLOOKUP($A130,#REF!,14,0)</f>
        <v>#REF!</v>
      </c>
      <c r="AA130" s="49"/>
    </row>
    <row r="131" spans="1:27" ht="15.75" outlineLevel="1">
      <c r="A131" s="47" t="s">
        <v>45</v>
      </c>
      <c r="B131" s="48" t="e">
        <f>VLOOKUP($A131,#REF!,2,0)</f>
        <v>#REF!</v>
      </c>
      <c r="C131" s="49"/>
      <c r="D131" s="48" t="e">
        <f>VLOOKUP($A131,#REF!,3,0)</f>
        <v>#REF!</v>
      </c>
      <c r="E131" s="49"/>
      <c r="F131" s="48" t="e">
        <f>VLOOKUP($A131,#REF!,4,0)</f>
        <v>#REF!</v>
      </c>
      <c r="G131" s="49"/>
      <c r="H131" s="48" t="e">
        <f>VLOOKUP($A131,#REF!,5,0)</f>
        <v>#REF!</v>
      </c>
      <c r="I131" s="49"/>
      <c r="J131" s="48" t="e">
        <f>VLOOKUP($A131,#REF!,6,0)</f>
        <v>#REF!</v>
      </c>
      <c r="K131" s="49"/>
      <c r="L131" s="48" t="e">
        <f>VLOOKUP($A131,#REF!,7,0)</f>
        <v>#REF!</v>
      </c>
      <c r="M131" s="49"/>
      <c r="N131" s="48" t="e">
        <f>VLOOKUP($A131,#REF!,8,0)</f>
        <v>#REF!</v>
      </c>
      <c r="O131" s="49"/>
      <c r="P131" s="48" t="e">
        <f>VLOOKUP($A131,#REF!,9,0)</f>
        <v>#REF!</v>
      </c>
      <c r="Q131" s="49"/>
      <c r="R131" s="48" t="e">
        <f>VLOOKUP($A131,#REF!,10,0)</f>
        <v>#REF!</v>
      </c>
      <c r="S131" s="49"/>
      <c r="T131" s="48" t="e">
        <f>VLOOKUP($A131,#REF!,11,0)</f>
        <v>#REF!</v>
      </c>
      <c r="U131" s="49"/>
      <c r="V131" s="48" t="e">
        <f>VLOOKUP($A131,#REF!,12,0)</f>
        <v>#REF!</v>
      </c>
      <c r="W131" s="49"/>
      <c r="X131" s="48" t="e">
        <f>VLOOKUP($A131,#REF!,13,0)</f>
        <v>#REF!</v>
      </c>
      <c r="Y131" s="49"/>
      <c r="Z131" s="48" t="e">
        <f>VLOOKUP($A131,#REF!,14,0)</f>
        <v>#REF!</v>
      </c>
      <c r="AA131" s="49"/>
    </row>
    <row r="132" spans="1:27" ht="15.75" outlineLevel="1">
      <c r="A132" s="47" t="s">
        <v>29</v>
      </c>
      <c r="B132" s="48" t="e">
        <f>VLOOKUP($A132,#REF!,2,0)</f>
        <v>#REF!</v>
      </c>
      <c r="C132" s="49"/>
      <c r="D132" s="48" t="e">
        <f>VLOOKUP($A132,#REF!,3,0)</f>
        <v>#REF!</v>
      </c>
      <c r="E132" s="49"/>
      <c r="F132" s="48" t="e">
        <f>VLOOKUP($A132,#REF!,4,0)</f>
        <v>#REF!</v>
      </c>
      <c r="G132" s="49"/>
      <c r="H132" s="48" t="e">
        <f>VLOOKUP($A132,#REF!,5,0)</f>
        <v>#REF!</v>
      </c>
      <c r="I132" s="49"/>
      <c r="J132" s="48" t="e">
        <f>VLOOKUP($A132,#REF!,6,0)</f>
        <v>#REF!</v>
      </c>
      <c r="K132" s="49"/>
      <c r="L132" s="48" t="e">
        <f>VLOOKUP($A132,#REF!,7,0)</f>
        <v>#REF!</v>
      </c>
      <c r="M132" s="49"/>
      <c r="N132" s="48" t="e">
        <f>VLOOKUP($A132,#REF!,8,0)</f>
        <v>#REF!</v>
      </c>
      <c r="O132" s="49"/>
      <c r="P132" s="48" t="e">
        <f>VLOOKUP($A132,#REF!,9,0)</f>
        <v>#REF!</v>
      </c>
      <c r="Q132" s="49"/>
      <c r="R132" s="48" t="e">
        <f>VLOOKUP($A132,#REF!,10,0)</f>
        <v>#REF!</v>
      </c>
      <c r="S132" s="49"/>
      <c r="T132" s="48" t="e">
        <f>VLOOKUP($A132,#REF!,11,0)</f>
        <v>#REF!</v>
      </c>
      <c r="U132" s="49"/>
      <c r="V132" s="48" t="e">
        <f>VLOOKUP($A132,#REF!,12,0)</f>
        <v>#REF!</v>
      </c>
      <c r="W132" s="49"/>
      <c r="X132" s="48" t="e">
        <f>VLOOKUP($A132,#REF!,13,0)</f>
        <v>#REF!</v>
      </c>
      <c r="Y132" s="49"/>
      <c r="Z132" s="48" t="e">
        <f>VLOOKUP($A132,#REF!,14,0)</f>
        <v>#REF!</v>
      </c>
      <c r="AA132" s="49"/>
    </row>
    <row r="133" spans="1:27" ht="15.75" outlineLevel="1">
      <c r="A133" s="47" t="s">
        <v>89</v>
      </c>
      <c r="B133" s="48" t="e">
        <f>VLOOKUP($A133,#REF!,2,0)</f>
        <v>#REF!</v>
      </c>
      <c r="C133" s="49"/>
      <c r="D133" s="48" t="e">
        <f>VLOOKUP($A133,#REF!,3,0)</f>
        <v>#REF!</v>
      </c>
      <c r="E133" s="49"/>
      <c r="F133" s="48" t="e">
        <f>VLOOKUP($A133,#REF!,4,0)</f>
        <v>#REF!</v>
      </c>
      <c r="G133" s="49"/>
      <c r="H133" s="48" t="e">
        <f>VLOOKUP($A133,#REF!,5,0)</f>
        <v>#REF!</v>
      </c>
      <c r="I133" s="49"/>
      <c r="J133" s="48" t="e">
        <f>VLOOKUP($A133,#REF!,6,0)</f>
        <v>#REF!</v>
      </c>
      <c r="K133" s="49"/>
      <c r="L133" s="48" t="e">
        <f>VLOOKUP($A133,#REF!,7,0)</f>
        <v>#REF!</v>
      </c>
      <c r="M133" s="49"/>
      <c r="N133" s="48" t="e">
        <f>VLOOKUP($A133,#REF!,8,0)</f>
        <v>#REF!</v>
      </c>
      <c r="O133" s="49"/>
      <c r="P133" s="48" t="e">
        <f>VLOOKUP($A133,#REF!,9,0)</f>
        <v>#REF!</v>
      </c>
      <c r="Q133" s="49"/>
      <c r="R133" s="48" t="e">
        <f>VLOOKUP($A133,#REF!,10,0)</f>
        <v>#REF!</v>
      </c>
      <c r="S133" s="49"/>
      <c r="T133" s="48" t="e">
        <f>VLOOKUP($A133,#REF!,11,0)</f>
        <v>#REF!</v>
      </c>
      <c r="U133" s="49"/>
      <c r="V133" s="48" t="e">
        <f>VLOOKUP($A133,#REF!,12,0)</f>
        <v>#REF!</v>
      </c>
      <c r="W133" s="49"/>
      <c r="X133" s="48" t="e">
        <f>VLOOKUP($A133,#REF!,13,0)</f>
        <v>#REF!</v>
      </c>
      <c r="Y133" s="49"/>
      <c r="Z133" s="48" t="e">
        <f>VLOOKUP($A133,#REF!,14,0)</f>
        <v>#REF!</v>
      </c>
      <c r="AA133" s="49"/>
    </row>
    <row r="134" spans="1:27" ht="15.75" outlineLevel="1">
      <c r="A134" s="47" t="s">
        <v>12</v>
      </c>
      <c r="B134" s="48" t="e">
        <f>VLOOKUP($A134,#REF!,2,0)</f>
        <v>#REF!</v>
      </c>
      <c r="C134" s="49"/>
      <c r="D134" s="48" t="e">
        <f>VLOOKUP($A134,#REF!,3,0)</f>
        <v>#REF!</v>
      </c>
      <c r="E134" s="49"/>
      <c r="F134" s="48" t="e">
        <f>VLOOKUP($A134,#REF!,4,0)</f>
        <v>#REF!</v>
      </c>
      <c r="G134" s="49"/>
      <c r="H134" s="48" t="e">
        <f>VLOOKUP($A134,#REF!,5,0)</f>
        <v>#REF!</v>
      </c>
      <c r="I134" s="49"/>
      <c r="J134" s="48" t="e">
        <f>VLOOKUP($A134,#REF!,6,0)</f>
        <v>#REF!</v>
      </c>
      <c r="K134" s="49"/>
      <c r="L134" s="48" t="e">
        <f>VLOOKUP($A134,#REF!,7,0)</f>
        <v>#REF!</v>
      </c>
      <c r="M134" s="49"/>
      <c r="N134" s="48" t="e">
        <f>VLOOKUP($A134,#REF!,8,0)</f>
        <v>#REF!</v>
      </c>
      <c r="O134" s="49"/>
      <c r="P134" s="48" t="e">
        <f>VLOOKUP($A134,#REF!,9,0)</f>
        <v>#REF!</v>
      </c>
      <c r="Q134" s="49"/>
      <c r="R134" s="48" t="e">
        <f>VLOOKUP($A134,#REF!,10,0)</f>
        <v>#REF!</v>
      </c>
      <c r="S134" s="49"/>
      <c r="T134" s="48" t="e">
        <f>VLOOKUP($A134,#REF!,11,0)</f>
        <v>#REF!</v>
      </c>
      <c r="U134" s="49"/>
      <c r="V134" s="48" t="e">
        <f>VLOOKUP($A134,#REF!,12,0)</f>
        <v>#REF!</v>
      </c>
      <c r="W134" s="49"/>
      <c r="X134" s="48" t="e">
        <f>VLOOKUP($A134,#REF!,13,0)</f>
        <v>#REF!</v>
      </c>
      <c r="Y134" s="49"/>
      <c r="Z134" s="48" t="e">
        <f>VLOOKUP($A134,#REF!,14,0)</f>
        <v>#REF!</v>
      </c>
      <c r="AA134" s="49"/>
    </row>
    <row r="135" spans="1:27" ht="9" customHeight="1">
      <c r="C135" s="51"/>
      <c r="E135" s="51"/>
      <c r="G135" s="51"/>
      <c r="I135" s="51"/>
      <c r="K135" s="51"/>
      <c r="M135" s="51"/>
      <c r="O135" s="51"/>
      <c r="Q135" s="51"/>
      <c r="S135" s="51"/>
      <c r="U135" s="51"/>
      <c r="W135" s="51"/>
      <c r="Y135" s="51"/>
      <c r="AA135" s="51"/>
    </row>
    <row r="136" spans="1:27" s="55" customFormat="1" ht="18.75">
      <c r="A136" s="52" t="s">
        <v>469</v>
      </c>
      <c r="B136" s="53" t="e">
        <f>B116-B118</f>
        <v>#REF!</v>
      </c>
      <c r="C136" s="54"/>
      <c r="D136" s="53" t="e">
        <f>D116-D118</f>
        <v>#REF!</v>
      </c>
      <c r="E136" s="54"/>
      <c r="F136" s="53" t="e">
        <f>F116-F118</f>
        <v>#REF!</v>
      </c>
      <c r="G136" s="54"/>
      <c r="H136" s="53" t="e">
        <f>H116-H118</f>
        <v>#REF!</v>
      </c>
      <c r="I136" s="54"/>
      <c r="J136" s="53" t="e">
        <f>J116-J118</f>
        <v>#REF!</v>
      </c>
      <c r="K136" s="54"/>
      <c r="L136" s="53" t="e">
        <f>L116-L118</f>
        <v>#REF!</v>
      </c>
      <c r="M136" s="54"/>
      <c r="N136" s="53" t="e">
        <f>N116-N118</f>
        <v>#REF!</v>
      </c>
      <c r="O136" s="54"/>
      <c r="P136" s="53" t="e">
        <f>P116-P118</f>
        <v>#REF!</v>
      </c>
      <c r="Q136" s="54"/>
      <c r="R136" s="53" t="e">
        <f>R116-R118</f>
        <v>#REF!</v>
      </c>
      <c r="S136" s="54"/>
      <c r="T136" s="53" t="e">
        <f>T116-T118</f>
        <v>#REF!</v>
      </c>
      <c r="U136" s="54"/>
      <c r="V136" s="53" t="e">
        <f>V116-V118</f>
        <v>#REF!</v>
      </c>
      <c r="W136" s="54"/>
      <c r="X136" s="53" t="e">
        <f>X116-X118</f>
        <v>#REF!</v>
      </c>
      <c r="Y136" s="54"/>
      <c r="Z136" s="53" t="e">
        <f>Z116-Z118</f>
        <v>#REF!</v>
      </c>
      <c r="AA136" s="54"/>
    </row>
    <row r="137" spans="1:27" s="55" customFormat="1" ht="8.25" customHeight="1" thickBot="1">
      <c r="A137"/>
      <c r="B137"/>
      <c r="C137" s="51"/>
      <c r="D137"/>
      <c r="E137" s="51"/>
      <c r="F137"/>
      <c r="G137" s="51"/>
      <c r="H137"/>
      <c r="I137" s="51"/>
      <c r="J137"/>
      <c r="K137" s="51"/>
      <c r="L137"/>
      <c r="M137" s="51"/>
      <c r="N137"/>
      <c r="O137" s="51"/>
      <c r="P137"/>
      <c r="Q137" s="51"/>
      <c r="R137"/>
      <c r="S137" s="51"/>
      <c r="T137"/>
      <c r="U137" s="51"/>
      <c r="V137"/>
      <c r="W137" s="51"/>
      <c r="X137"/>
      <c r="Y137" s="51"/>
      <c r="Z137"/>
      <c r="AA137" s="51"/>
    </row>
    <row r="138" spans="1:27" s="55" customFormat="1" ht="21.75" thickBot="1">
      <c r="A138" s="56" t="s">
        <v>289</v>
      </c>
      <c r="B138" s="45" t="e">
        <f>VLOOKUP($A138,#REF!,2,0)</f>
        <v>#REF!</v>
      </c>
      <c r="C138" s="46" t="e">
        <f>B138/B$10</f>
        <v>#REF!</v>
      </c>
      <c r="D138" s="45" t="e">
        <f>VLOOKUP($A138,#REF!,3,0)</f>
        <v>#REF!</v>
      </c>
      <c r="E138" s="46" t="e">
        <f>D138/D$10</f>
        <v>#REF!</v>
      </c>
      <c r="F138" s="45" t="e">
        <f>VLOOKUP($A138,#REF!,4,0)</f>
        <v>#REF!</v>
      </c>
      <c r="G138" s="46" t="e">
        <f>F138/F$10</f>
        <v>#REF!</v>
      </c>
      <c r="H138" s="45" t="e">
        <f>VLOOKUP($A138,#REF!,5,0)</f>
        <v>#REF!</v>
      </c>
      <c r="I138" s="46" t="e">
        <f>H138/H$10</f>
        <v>#REF!</v>
      </c>
      <c r="J138" s="45" t="e">
        <f>VLOOKUP($A138,#REF!,6,0)</f>
        <v>#REF!</v>
      </c>
      <c r="K138" s="46" t="e">
        <f>J138/J$10</f>
        <v>#REF!</v>
      </c>
      <c r="L138" s="45" t="e">
        <f>VLOOKUP($A138,#REF!,7,0)</f>
        <v>#REF!</v>
      </c>
      <c r="M138" s="46" t="e">
        <f>L138/L$10</f>
        <v>#REF!</v>
      </c>
      <c r="N138" s="45" t="e">
        <f>VLOOKUP($A138,#REF!,8,0)</f>
        <v>#REF!</v>
      </c>
      <c r="O138" s="46" t="e">
        <f>N138/N$10</f>
        <v>#REF!</v>
      </c>
      <c r="P138" s="45" t="e">
        <f>VLOOKUP($A138,#REF!,9,0)</f>
        <v>#REF!</v>
      </c>
      <c r="Q138" s="46" t="e">
        <f>P138/P$10</f>
        <v>#REF!</v>
      </c>
      <c r="R138" s="45" t="e">
        <f>VLOOKUP($A138,#REF!,10,0)</f>
        <v>#REF!</v>
      </c>
      <c r="S138" s="46" t="e">
        <f>R138/R$10</f>
        <v>#REF!</v>
      </c>
      <c r="T138" s="45" t="e">
        <f>VLOOKUP($A138,#REF!,11,0)</f>
        <v>#REF!</v>
      </c>
      <c r="U138" s="46" t="e">
        <f>T138/T$10</f>
        <v>#REF!</v>
      </c>
      <c r="V138" s="45" t="e">
        <f>VLOOKUP($A138,#REF!,12,0)</f>
        <v>#REF!</v>
      </c>
      <c r="W138" s="46" t="e">
        <f>V138/V$10</f>
        <v>#REF!</v>
      </c>
      <c r="X138" s="45" t="e">
        <f>VLOOKUP($A138,#REF!,13,0)</f>
        <v>#REF!</v>
      </c>
      <c r="Y138" s="46" t="e">
        <f>X138/X$10</f>
        <v>#REF!</v>
      </c>
      <c r="Z138" s="45" t="e">
        <f>VLOOKUP($A138,#REF!,14,0)</f>
        <v>#REF!</v>
      </c>
      <c r="AA138" s="46" t="e">
        <f>Z138/Z$10</f>
        <v>#REF!</v>
      </c>
    </row>
    <row r="139" spans="1:27" s="55" customFormat="1" ht="9" customHeight="1">
      <c r="A139"/>
      <c r="B139"/>
      <c r="C139" s="51"/>
      <c r="D139"/>
      <c r="E139" s="51"/>
      <c r="F139"/>
      <c r="G139" s="51"/>
      <c r="H139"/>
      <c r="I139" s="51"/>
      <c r="J139"/>
      <c r="K139" s="51"/>
      <c r="L139"/>
      <c r="M139" s="51"/>
      <c r="N139"/>
      <c r="O139" s="51"/>
      <c r="P139"/>
      <c r="Q139" s="51"/>
      <c r="R139"/>
      <c r="S139" s="51"/>
      <c r="T139"/>
      <c r="U139" s="51"/>
      <c r="V139"/>
      <c r="W139" s="51"/>
      <c r="X139"/>
      <c r="Y139" s="51"/>
      <c r="Z139"/>
      <c r="AA139" s="51"/>
    </row>
    <row r="140" spans="1:27" s="55" customFormat="1" ht="18.75">
      <c r="A140" s="52" t="s">
        <v>470</v>
      </c>
      <c r="B140" s="53" t="e">
        <f>B136-B138</f>
        <v>#REF!</v>
      </c>
      <c r="C140" s="54"/>
      <c r="D140" s="53" t="e">
        <f>D136-D138</f>
        <v>#REF!</v>
      </c>
      <c r="E140" s="54"/>
      <c r="F140" s="53" t="e">
        <f>F136-F138</f>
        <v>#REF!</v>
      </c>
      <c r="G140" s="54"/>
      <c r="H140" s="53" t="e">
        <f>H136-H138</f>
        <v>#REF!</v>
      </c>
      <c r="I140" s="54"/>
      <c r="J140" s="53" t="e">
        <f>J136-J138</f>
        <v>#REF!</v>
      </c>
      <c r="K140" s="54"/>
      <c r="L140" s="53" t="e">
        <f>L136-L138</f>
        <v>#REF!</v>
      </c>
      <c r="M140" s="54"/>
      <c r="N140" s="53" t="e">
        <f>N136-N138</f>
        <v>#REF!</v>
      </c>
      <c r="O140" s="54"/>
      <c r="P140" s="53" t="e">
        <f>P136-P138</f>
        <v>#REF!</v>
      </c>
      <c r="Q140" s="54"/>
      <c r="R140" s="53" t="e">
        <f>R136-R138</f>
        <v>#REF!</v>
      </c>
      <c r="S140" s="54"/>
      <c r="T140" s="53" t="e">
        <f>T136-T138</f>
        <v>#REF!</v>
      </c>
      <c r="U140" s="54"/>
      <c r="V140" s="53" t="e">
        <f>V136-V138</f>
        <v>#REF!</v>
      </c>
      <c r="W140" s="54"/>
      <c r="X140" s="53" t="e">
        <f>X136-X138</f>
        <v>#REF!</v>
      </c>
      <c r="Y140" s="54"/>
      <c r="Z140" s="53" t="e">
        <f>Z136-Z138</f>
        <v>#REF!</v>
      </c>
      <c r="AA140" s="54"/>
    </row>
    <row r="141" spans="1:27" s="55" customFormat="1" ht="8.25" customHeight="1" thickBot="1">
      <c r="A141"/>
      <c r="B141"/>
      <c r="C141" s="51"/>
      <c r="D141"/>
      <c r="E141" s="51"/>
      <c r="F141"/>
      <c r="G141" s="51"/>
      <c r="H141"/>
      <c r="I141" s="51"/>
      <c r="J141"/>
      <c r="K141" s="51"/>
      <c r="L141"/>
      <c r="M141" s="51"/>
      <c r="N141"/>
      <c r="O141" s="51"/>
      <c r="P141"/>
      <c r="Q141" s="51"/>
      <c r="R141"/>
      <c r="S141" s="51"/>
      <c r="T141"/>
      <c r="U141" s="51"/>
      <c r="V141"/>
      <c r="W141" s="51"/>
      <c r="X141"/>
      <c r="Y141" s="51"/>
      <c r="Z141"/>
      <c r="AA141" s="51"/>
    </row>
    <row r="142" spans="1:27" s="55" customFormat="1" ht="21.75" thickBot="1">
      <c r="A142" s="56" t="s">
        <v>329</v>
      </c>
      <c r="B142" s="45" t="e">
        <f>VLOOKUP($A142,#REF!,2,0)</f>
        <v>#REF!</v>
      </c>
      <c r="C142" s="46" t="e">
        <f>B142/B$10</f>
        <v>#REF!</v>
      </c>
      <c r="D142" s="45" t="e">
        <f>VLOOKUP($A142,#REF!,3,0)</f>
        <v>#REF!</v>
      </c>
      <c r="E142" s="46" t="e">
        <f>D142/D$10</f>
        <v>#REF!</v>
      </c>
      <c r="F142" s="45" t="e">
        <f>VLOOKUP($A142,#REF!,4,0)</f>
        <v>#REF!</v>
      </c>
      <c r="G142" s="46" t="e">
        <f>F142/F$10</f>
        <v>#REF!</v>
      </c>
      <c r="H142" s="45" t="e">
        <f>VLOOKUP($A142,#REF!,5,0)</f>
        <v>#REF!</v>
      </c>
      <c r="I142" s="46" t="e">
        <f>H142/H$10</f>
        <v>#REF!</v>
      </c>
      <c r="J142" s="45" t="e">
        <f>VLOOKUP($A142,#REF!,6,0)</f>
        <v>#REF!</v>
      </c>
      <c r="K142" s="46" t="e">
        <f>J142/J$10</f>
        <v>#REF!</v>
      </c>
      <c r="L142" s="45" t="e">
        <f>VLOOKUP($A142,#REF!,7,0)</f>
        <v>#REF!</v>
      </c>
      <c r="M142" s="46" t="e">
        <f>L142/L$10</f>
        <v>#REF!</v>
      </c>
      <c r="N142" s="45" t="e">
        <f>VLOOKUP($A142,#REF!,8,0)</f>
        <v>#REF!</v>
      </c>
      <c r="O142" s="46" t="e">
        <f>N142/N$10</f>
        <v>#REF!</v>
      </c>
      <c r="P142" s="45" t="e">
        <f>VLOOKUP($A142,#REF!,9,0)</f>
        <v>#REF!</v>
      </c>
      <c r="Q142" s="46" t="e">
        <f>P142/P$10</f>
        <v>#REF!</v>
      </c>
      <c r="R142" s="45" t="e">
        <f>VLOOKUP($A142,#REF!,10,0)</f>
        <v>#REF!</v>
      </c>
      <c r="S142" s="46" t="e">
        <f>R142/R$10</f>
        <v>#REF!</v>
      </c>
      <c r="T142" s="45" t="e">
        <f>VLOOKUP($A142,#REF!,11,0)</f>
        <v>#REF!</v>
      </c>
      <c r="U142" s="46" t="e">
        <f>T142/T$10</f>
        <v>#REF!</v>
      </c>
      <c r="V142" s="45" t="e">
        <f>VLOOKUP($A142,#REF!,12,0)</f>
        <v>#REF!</v>
      </c>
      <c r="W142" s="46" t="e">
        <f>V142/V$10</f>
        <v>#REF!</v>
      </c>
      <c r="X142" s="45" t="e">
        <f>VLOOKUP($A142,#REF!,13,0)</f>
        <v>#REF!</v>
      </c>
      <c r="Y142" s="46" t="e">
        <f>X142/X$10</f>
        <v>#REF!</v>
      </c>
      <c r="Z142" s="45" t="e">
        <f>VLOOKUP($A142,#REF!,14,0)</f>
        <v>#REF!</v>
      </c>
      <c r="AA142" s="46" t="e">
        <f>Z142/Z$10</f>
        <v>#REF!</v>
      </c>
    </row>
    <row r="143" spans="1:27" s="55" customFormat="1" ht="9" customHeight="1">
      <c r="A143"/>
      <c r="B143"/>
      <c r="C143" s="51"/>
      <c r="D143"/>
      <c r="E143" s="51"/>
      <c r="F143"/>
      <c r="G143" s="51"/>
      <c r="H143"/>
      <c r="I143" s="51"/>
      <c r="J143"/>
      <c r="K143" s="51"/>
      <c r="L143"/>
      <c r="M143" s="51"/>
      <c r="N143"/>
      <c r="O143" s="51"/>
      <c r="P143"/>
      <c r="Q143" s="51"/>
      <c r="R143"/>
      <c r="S143" s="51"/>
      <c r="T143"/>
      <c r="U143" s="51"/>
      <c r="V143"/>
      <c r="W143" s="51"/>
      <c r="X143"/>
      <c r="Y143" s="51"/>
      <c r="Z143"/>
      <c r="AA143" s="51"/>
    </row>
    <row r="144" spans="1:27" s="55" customFormat="1" ht="18.75">
      <c r="A144" s="52" t="s">
        <v>471</v>
      </c>
      <c r="B144" s="53" t="e">
        <f>B140-B142</f>
        <v>#REF!</v>
      </c>
      <c r="C144" s="54"/>
      <c r="D144" s="53" t="e">
        <f>D140-D142</f>
        <v>#REF!</v>
      </c>
      <c r="E144" s="54"/>
      <c r="F144" s="53" t="e">
        <f>F140-F142</f>
        <v>#REF!</v>
      </c>
      <c r="G144" s="54"/>
      <c r="H144" s="53" t="e">
        <f>H140-H142</f>
        <v>#REF!</v>
      </c>
      <c r="I144" s="54"/>
      <c r="J144" s="53" t="e">
        <f>J140-J142</f>
        <v>#REF!</v>
      </c>
      <c r="K144" s="54"/>
      <c r="L144" s="53" t="e">
        <f>L140-L142</f>
        <v>#REF!</v>
      </c>
      <c r="M144" s="54"/>
      <c r="N144" s="53" t="e">
        <f>N140-N142</f>
        <v>#REF!</v>
      </c>
      <c r="O144" s="54"/>
      <c r="P144" s="53" t="e">
        <f>P140-P142</f>
        <v>#REF!</v>
      </c>
      <c r="Q144" s="54"/>
      <c r="R144" s="53" t="e">
        <f>R140-R142</f>
        <v>#REF!</v>
      </c>
      <c r="S144" s="54"/>
      <c r="T144" s="53" t="e">
        <f>T140-T142</f>
        <v>#REF!</v>
      </c>
      <c r="U144" s="54"/>
      <c r="V144" s="53" t="e">
        <f>V140-V142</f>
        <v>#REF!</v>
      </c>
      <c r="W144" s="54"/>
      <c r="X144" s="53" t="e">
        <f>X140-X142</f>
        <v>#REF!</v>
      </c>
      <c r="Y144" s="54"/>
      <c r="Z144" s="53" t="e">
        <f>Z140-Z142</f>
        <v>#REF!</v>
      </c>
      <c r="AA144" s="54"/>
    </row>
    <row r="145" spans="1:27" ht="8.25" customHeight="1" thickBot="1">
      <c r="C145" s="51"/>
      <c r="E145" s="51"/>
      <c r="G145" s="51"/>
      <c r="I145" s="51"/>
      <c r="K145" s="51"/>
      <c r="M145" s="51"/>
      <c r="O145" s="51"/>
      <c r="Q145" s="51"/>
      <c r="S145" s="51"/>
      <c r="U145" s="51"/>
      <c r="W145" s="51"/>
      <c r="Y145" s="51"/>
      <c r="AA145" s="51"/>
    </row>
    <row r="146" spans="1:27" ht="21.75" thickBot="1">
      <c r="A146" s="56" t="s">
        <v>149</v>
      </c>
      <c r="B146" s="45" t="e">
        <f>VLOOKUP($A146,#REF!,2,0)</f>
        <v>#REF!</v>
      </c>
      <c r="C146" s="46" t="e">
        <f>B146/B$10</f>
        <v>#REF!</v>
      </c>
      <c r="D146" s="45" t="e">
        <f>VLOOKUP($A146,#REF!,3,0)</f>
        <v>#REF!</v>
      </c>
      <c r="E146" s="46" t="e">
        <f>D146/D$10</f>
        <v>#REF!</v>
      </c>
      <c r="F146" s="45" t="e">
        <f>VLOOKUP($A146,#REF!,4,0)</f>
        <v>#REF!</v>
      </c>
      <c r="G146" s="46" t="e">
        <f>F146/F$10</f>
        <v>#REF!</v>
      </c>
      <c r="H146" s="45" t="e">
        <f>VLOOKUP($A146,#REF!,5,0)</f>
        <v>#REF!</v>
      </c>
      <c r="I146" s="46" t="e">
        <f>H146/H$10</f>
        <v>#REF!</v>
      </c>
      <c r="J146" s="45" t="e">
        <f>VLOOKUP($A146,#REF!,6,0)</f>
        <v>#REF!</v>
      </c>
      <c r="K146" s="46" t="e">
        <f>J146/J$10</f>
        <v>#REF!</v>
      </c>
      <c r="L146" s="45" t="e">
        <f>VLOOKUP($A146,#REF!,7,0)</f>
        <v>#REF!</v>
      </c>
      <c r="M146" s="46" t="e">
        <f>L146/L$10</f>
        <v>#REF!</v>
      </c>
      <c r="N146" s="45" t="e">
        <f>VLOOKUP($A146,#REF!,8,0)</f>
        <v>#REF!</v>
      </c>
      <c r="O146" s="46" t="e">
        <f>N146/N$10</f>
        <v>#REF!</v>
      </c>
      <c r="P146" s="45" t="e">
        <f>VLOOKUP($A146,#REF!,9,0)</f>
        <v>#REF!</v>
      </c>
      <c r="Q146" s="46" t="e">
        <f>P146/P$10</f>
        <v>#REF!</v>
      </c>
      <c r="R146" s="45" t="e">
        <f>VLOOKUP($A146,#REF!,10,0)</f>
        <v>#REF!</v>
      </c>
      <c r="S146" s="46" t="e">
        <f>R146/R$10</f>
        <v>#REF!</v>
      </c>
      <c r="T146" s="45" t="e">
        <f>VLOOKUP($A146,#REF!,11,0)</f>
        <v>#REF!</v>
      </c>
      <c r="U146" s="46" t="e">
        <f>T146/T$10</f>
        <v>#REF!</v>
      </c>
      <c r="V146" s="45" t="e">
        <f>VLOOKUP($A146,#REF!,12,0)</f>
        <v>#REF!</v>
      </c>
      <c r="W146" s="46" t="e">
        <f>V146/V$10</f>
        <v>#REF!</v>
      </c>
      <c r="X146" s="45" t="e">
        <f>VLOOKUP($A146,#REF!,13,0)</f>
        <v>#REF!</v>
      </c>
      <c r="Y146" s="46" t="e">
        <f>X146/X$10</f>
        <v>#REF!</v>
      </c>
      <c r="Z146" s="45" t="e">
        <f>VLOOKUP($A146,#REF!,14,0)</f>
        <v>#REF!</v>
      </c>
      <c r="AA146" s="46" t="e">
        <f>Z146/Z$10</f>
        <v>#REF!</v>
      </c>
    </row>
    <row r="147" spans="1:27" ht="8.25" customHeight="1" thickBot="1">
      <c r="C147" s="51"/>
      <c r="E147" s="51"/>
      <c r="G147" s="51"/>
      <c r="I147" s="51"/>
      <c r="K147" s="51"/>
      <c r="M147" s="51"/>
      <c r="O147" s="51"/>
      <c r="Q147" s="51"/>
      <c r="S147" s="51"/>
      <c r="U147" s="51"/>
      <c r="W147" s="51"/>
      <c r="Y147" s="51"/>
      <c r="AA147" s="51"/>
    </row>
    <row r="148" spans="1:27" ht="21.75" thickBot="1">
      <c r="A148" s="44" t="s">
        <v>447</v>
      </c>
      <c r="B148" s="45" t="e">
        <f>VLOOKUP($A148,#REF!,2,0)</f>
        <v>#REF!</v>
      </c>
      <c r="C148" s="46" t="e">
        <f>B148/B$10</f>
        <v>#REF!</v>
      </c>
      <c r="D148" s="45" t="e">
        <f>VLOOKUP($A148,#REF!,3,0)</f>
        <v>#REF!</v>
      </c>
      <c r="E148" s="46" t="e">
        <f>D148/D$10</f>
        <v>#REF!</v>
      </c>
      <c r="F148" s="45" t="e">
        <f>VLOOKUP($A148,#REF!,4,0)</f>
        <v>#REF!</v>
      </c>
      <c r="G148" s="46" t="e">
        <f>F148/F$10</f>
        <v>#REF!</v>
      </c>
      <c r="H148" s="45" t="e">
        <f>VLOOKUP($A148,#REF!,5,0)</f>
        <v>#REF!</v>
      </c>
      <c r="I148" s="46" t="e">
        <f>H148/H$10</f>
        <v>#REF!</v>
      </c>
      <c r="J148" s="45" t="e">
        <f>VLOOKUP($A148,#REF!,6,0)</f>
        <v>#REF!</v>
      </c>
      <c r="K148" s="46" t="e">
        <f>J148/J$10</f>
        <v>#REF!</v>
      </c>
      <c r="L148" s="45" t="e">
        <f>VLOOKUP($A148,#REF!,7,0)</f>
        <v>#REF!</v>
      </c>
      <c r="M148" s="46" t="e">
        <f>L148/L$10</f>
        <v>#REF!</v>
      </c>
      <c r="N148" s="45" t="e">
        <f>VLOOKUP($A148,#REF!,8,0)</f>
        <v>#REF!</v>
      </c>
      <c r="O148" s="46" t="e">
        <f>N148/N$10</f>
        <v>#REF!</v>
      </c>
      <c r="P148" s="45" t="e">
        <f>VLOOKUP($A148,#REF!,9,0)</f>
        <v>#REF!</v>
      </c>
      <c r="Q148" s="46" t="e">
        <f>P148/P$10</f>
        <v>#REF!</v>
      </c>
      <c r="R148" s="45" t="e">
        <f>VLOOKUP($A148,#REF!,10,0)</f>
        <v>#REF!</v>
      </c>
      <c r="S148" s="46" t="e">
        <f>R148/R$10</f>
        <v>#REF!</v>
      </c>
      <c r="T148" s="45" t="e">
        <f>VLOOKUP($A148,#REF!,11,0)</f>
        <v>#REF!</v>
      </c>
      <c r="U148" s="46" t="e">
        <f>T148/T$10</f>
        <v>#REF!</v>
      </c>
      <c r="V148" s="45" t="e">
        <f>VLOOKUP($A148,#REF!,12,0)</f>
        <v>#REF!</v>
      </c>
      <c r="W148" s="46" t="e">
        <f>V148/V$10</f>
        <v>#REF!</v>
      </c>
      <c r="X148" s="45" t="e">
        <f>VLOOKUP($A148,#REF!,13,0)</f>
        <v>#REF!</v>
      </c>
      <c r="Y148" s="46" t="e">
        <f>X148/X$10</f>
        <v>#REF!</v>
      </c>
      <c r="Z148" s="45" t="e">
        <f>VLOOKUP($A148,#REF!,14,0)</f>
        <v>#REF!</v>
      </c>
      <c r="AA148" s="46" t="e">
        <f>Z148/Z$10</f>
        <v>#REF!</v>
      </c>
    </row>
    <row r="149" spans="1:27" ht="8.25" customHeight="1" thickBot="1">
      <c r="C149" s="51"/>
      <c r="E149" s="51"/>
      <c r="G149" s="51"/>
      <c r="I149" s="51"/>
      <c r="K149" s="51"/>
      <c r="M149" s="51"/>
      <c r="O149" s="51"/>
      <c r="Q149" s="51"/>
      <c r="S149" s="51"/>
      <c r="U149" s="51"/>
      <c r="W149" s="51"/>
      <c r="Y149" s="51"/>
      <c r="AA149" s="51"/>
    </row>
    <row r="150" spans="1:27" ht="21.75" thickBot="1">
      <c r="A150" s="56" t="s">
        <v>293</v>
      </c>
      <c r="B150" s="45" t="e">
        <f>VLOOKUP($A150,#REF!,2,0)</f>
        <v>#REF!</v>
      </c>
      <c r="C150" s="46" t="e">
        <f>B150/B$10</f>
        <v>#REF!</v>
      </c>
      <c r="D150" s="45" t="e">
        <f>VLOOKUP($A150,#REF!,3,0)</f>
        <v>#REF!</v>
      </c>
      <c r="E150" s="46" t="e">
        <f>D150/D$10</f>
        <v>#REF!</v>
      </c>
      <c r="F150" s="45" t="e">
        <f>VLOOKUP($A150,#REF!,4,0)</f>
        <v>#REF!</v>
      </c>
      <c r="G150" s="46" t="e">
        <f>F150/F$10</f>
        <v>#REF!</v>
      </c>
      <c r="H150" s="45" t="e">
        <f>VLOOKUP($A150,#REF!,5,0)</f>
        <v>#REF!</v>
      </c>
      <c r="I150" s="46" t="e">
        <f>H150/H$10</f>
        <v>#REF!</v>
      </c>
      <c r="J150" s="45" t="e">
        <f>VLOOKUP($A150,#REF!,6,0)</f>
        <v>#REF!</v>
      </c>
      <c r="K150" s="46" t="e">
        <f>J150/J$10</f>
        <v>#REF!</v>
      </c>
      <c r="L150" s="45" t="e">
        <f>VLOOKUP($A150,#REF!,7,0)</f>
        <v>#REF!</v>
      </c>
      <c r="M150" s="46" t="e">
        <f>L150/L$10</f>
        <v>#REF!</v>
      </c>
      <c r="N150" s="45" t="e">
        <f>VLOOKUP($A150,#REF!,8,0)</f>
        <v>#REF!</v>
      </c>
      <c r="O150" s="46" t="e">
        <f>N150/N$10</f>
        <v>#REF!</v>
      </c>
      <c r="P150" s="45" t="e">
        <f>VLOOKUP($A150,#REF!,9,0)</f>
        <v>#REF!</v>
      </c>
      <c r="Q150" s="46" t="e">
        <f>P150/P$10</f>
        <v>#REF!</v>
      </c>
      <c r="R150" s="45" t="e">
        <f>VLOOKUP($A150,#REF!,10,0)</f>
        <v>#REF!</v>
      </c>
      <c r="S150" s="46" t="e">
        <f>R150/R$10</f>
        <v>#REF!</v>
      </c>
      <c r="T150" s="45" t="e">
        <f>VLOOKUP($A150,#REF!,11,0)</f>
        <v>#REF!</v>
      </c>
      <c r="U150" s="46" t="e">
        <f>T150/T$10</f>
        <v>#REF!</v>
      </c>
      <c r="V150" s="45" t="e">
        <f>VLOOKUP($A150,#REF!,12,0)</f>
        <v>#REF!</v>
      </c>
      <c r="W150" s="46" t="e">
        <f>V150/V$10</f>
        <v>#REF!</v>
      </c>
      <c r="X150" s="45" t="e">
        <f>VLOOKUP($A150,#REF!,13,0)</f>
        <v>#REF!</v>
      </c>
      <c r="Y150" s="46" t="e">
        <f>X150/X$10</f>
        <v>#REF!</v>
      </c>
      <c r="Z150" s="45" t="e">
        <f>VLOOKUP($A150,#REF!,14,0)</f>
        <v>#REF!</v>
      </c>
      <c r="AA150" s="46" t="e">
        <f>Z150/Z$10</f>
        <v>#REF!</v>
      </c>
    </row>
    <row r="151" spans="1:27" ht="8.25" customHeight="1" thickBot="1">
      <c r="C151" s="51"/>
      <c r="E151" s="51"/>
      <c r="G151" s="51"/>
      <c r="I151" s="51"/>
      <c r="K151" s="51"/>
      <c r="M151" s="51"/>
      <c r="O151" s="51"/>
      <c r="Q151" s="51"/>
      <c r="S151" s="51"/>
      <c r="U151" s="51"/>
      <c r="W151" s="51"/>
      <c r="Y151" s="51"/>
      <c r="AA151" s="51"/>
    </row>
    <row r="152" spans="1:27" ht="27" thickBot="1">
      <c r="A152" s="57" t="s">
        <v>472</v>
      </c>
      <c r="B152" s="58" t="e">
        <f>B144-B146+B148-B150</f>
        <v>#REF!</v>
      </c>
      <c r="C152" s="59" t="e">
        <f>B152/B$10</f>
        <v>#REF!</v>
      </c>
      <c r="D152" s="58" t="e">
        <f>D144-D146+D148-D150</f>
        <v>#REF!</v>
      </c>
      <c r="E152" s="59" t="e">
        <f>D152/D$10</f>
        <v>#REF!</v>
      </c>
      <c r="F152" s="58" t="e">
        <f>F144-F146+F148-F150</f>
        <v>#REF!</v>
      </c>
      <c r="G152" s="59" t="e">
        <f>F152/F$10</f>
        <v>#REF!</v>
      </c>
      <c r="H152" s="58" t="e">
        <f>H144-H146+H148-H150</f>
        <v>#REF!</v>
      </c>
      <c r="I152" s="59" t="e">
        <f>H152/H$10</f>
        <v>#REF!</v>
      </c>
      <c r="J152" s="58" t="e">
        <f>J144-J146+J148-J150</f>
        <v>#REF!</v>
      </c>
      <c r="K152" s="59" t="e">
        <f>J152/J$10</f>
        <v>#REF!</v>
      </c>
      <c r="L152" s="58" t="e">
        <f>L144-L146+L148-L150</f>
        <v>#REF!</v>
      </c>
      <c r="M152" s="59" t="e">
        <f>L152/L$10</f>
        <v>#REF!</v>
      </c>
      <c r="N152" s="58" t="e">
        <f>N144-N146+N148-N150</f>
        <v>#REF!</v>
      </c>
      <c r="O152" s="59" t="e">
        <f>N152/N$10</f>
        <v>#REF!</v>
      </c>
      <c r="P152" s="58" t="e">
        <f>P144-P146+P148-P150</f>
        <v>#REF!</v>
      </c>
      <c r="Q152" s="59" t="e">
        <f>P152/P$10</f>
        <v>#REF!</v>
      </c>
      <c r="R152" s="58" t="e">
        <f>R144-R146+R148-R150</f>
        <v>#REF!</v>
      </c>
      <c r="S152" s="59" t="e">
        <f>R152/R$10</f>
        <v>#REF!</v>
      </c>
      <c r="T152" s="58" t="e">
        <f>T144-T146+T148-T150</f>
        <v>#REF!</v>
      </c>
      <c r="U152" s="59" t="e">
        <f>T152/T$10</f>
        <v>#REF!</v>
      </c>
      <c r="V152" s="58" t="e">
        <f>V144-V146+V148-V150</f>
        <v>#REF!</v>
      </c>
      <c r="W152" s="59" t="e">
        <f>V152/V$10</f>
        <v>#REF!</v>
      </c>
      <c r="X152" s="58" t="e">
        <f>X144-X146+X148-X150</f>
        <v>#REF!</v>
      </c>
      <c r="Y152" s="59" t="e">
        <f>X152/X$10</f>
        <v>#REF!</v>
      </c>
      <c r="Z152" s="58" t="e">
        <f>Z144-Z146+Z148-Z150</f>
        <v>#REF!</v>
      </c>
      <c r="AA152" s="59" t="e">
        <f>Z152/Z$10</f>
        <v>#REF!</v>
      </c>
    </row>
  </sheetData>
  <mergeCells count="14">
    <mergeCell ref="X5:Y5"/>
    <mergeCell ref="Z5:AA5"/>
    <mergeCell ref="L5:M5"/>
    <mergeCell ref="N5:O5"/>
    <mergeCell ref="P5:Q5"/>
    <mergeCell ref="R5:S5"/>
    <mergeCell ref="T5:U5"/>
    <mergeCell ref="V5:W5"/>
    <mergeCell ref="J5:K5"/>
    <mergeCell ref="A5:A6"/>
    <mergeCell ref="B5:C5"/>
    <mergeCell ref="D5:E5"/>
    <mergeCell ref="F5:G5"/>
    <mergeCell ref="H5:I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80" zoomScaleNormal="80" workbookViewId="0">
      <pane ySplit="2" topLeftCell="A3" activePane="bottomLeft" state="frozen"/>
      <selection activeCell="F8" sqref="F8"/>
      <selection pane="bottomLeft" activeCell="F8" sqref="F8"/>
    </sheetView>
  </sheetViews>
  <sheetFormatPr defaultColWidth="12.5703125" defaultRowHeight="15.75" outlineLevelCol="1"/>
  <cols>
    <col min="1" max="1" width="39.85546875" style="168" customWidth="1"/>
    <col min="2" max="2" width="22.85546875" style="168" customWidth="1" outlineLevel="1"/>
    <col min="3" max="3" width="16.7109375" style="168" customWidth="1" outlineLevel="1"/>
    <col min="4" max="4" width="19.5703125" style="168" customWidth="1" outlineLevel="1"/>
    <col min="5" max="5" width="16.7109375" style="168" customWidth="1" outlineLevel="1"/>
    <col min="6" max="6" width="18.5703125" style="168" bestFit="1" customWidth="1"/>
    <col min="7" max="7" width="15.42578125" style="168" customWidth="1"/>
    <col min="8" max="8" width="5.140625" style="168" customWidth="1"/>
    <col min="9" max="9" width="37.7109375" style="168" customWidth="1"/>
    <col min="10" max="10" width="22.85546875" style="168" customWidth="1" outlineLevel="1"/>
    <col min="11" max="11" width="11.7109375" style="168" customWidth="1" outlineLevel="1"/>
    <col min="12" max="12" width="19.5703125" style="168" customWidth="1" outlineLevel="1"/>
    <col min="13" max="13" width="12.42578125" style="168" customWidth="1" outlineLevel="1"/>
    <col min="14" max="14" width="18.5703125" style="168" bestFit="1" customWidth="1"/>
    <col min="15" max="15" width="15.42578125" style="168" customWidth="1"/>
    <col min="16" max="16" width="16" style="168" customWidth="1"/>
    <col min="17" max="17" width="12.5703125" style="168"/>
    <col min="18" max="18" width="13.85546875" style="168" bestFit="1" customWidth="1"/>
    <col min="19" max="19" width="12.5703125" style="168"/>
    <col min="20" max="20" width="15.5703125" style="168" bestFit="1" customWidth="1"/>
    <col min="21" max="21" width="8.42578125" style="168" bestFit="1" customWidth="1"/>
    <col min="22" max="16384" width="12.5703125" style="168"/>
  </cols>
  <sheetData>
    <row r="1" spans="1:21" s="182" customFormat="1">
      <c r="B1" s="907" t="s">
        <v>520</v>
      </c>
      <c r="C1" s="907"/>
      <c r="D1" s="907" t="s">
        <v>521</v>
      </c>
      <c r="E1" s="907"/>
      <c r="F1" s="908" t="s">
        <v>511</v>
      </c>
      <c r="G1" s="909"/>
      <c r="I1" s="168"/>
      <c r="J1" s="907" t="s">
        <v>520</v>
      </c>
      <c r="K1" s="907"/>
      <c r="L1" s="907" t="s">
        <v>521</v>
      </c>
      <c r="M1" s="907"/>
      <c r="N1" s="908" t="s">
        <v>513</v>
      </c>
      <c r="O1" s="909"/>
      <c r="P1" s="905" t="s">
        <v>565</v>
      </c>
      <c r="Q1" s="905"/>
      <c r="R1" s="906"/>
    </row>
    <row r="2" spans="1:21" s="182" customFormat="1">
      <c r="B2" s="202" t="s">
        <v>522</v>
      </c>
      <c r="C2" s="202" t="s">
        <v>523</v>
      </c>
      <c r="D2" s="202" t="s">
        <v>522</v>
      </c>
      <c r="E2" s="202" t="s">
        <v>523</v>
      </c>
      <c r="F2" s="327" t="s">
        <v>522</v>
      </c>
      <c r="G2" s="328" t="s">
        <v>523</v>
      </c>
      <c r="I2" s="168"/>
      <c r="J2" s="351" t="s">
        <v>522</v>
      </c>
      <c r="K2" s="351" t="s">
        <v>523</v>
      </c>
      <c r="L2" s="351" t="s">
        <v>522</v>
      </c>
      <c r="M2" s="351" t="s">
        <v>523</v>
      </c>
      <c r="N2" s="352" t="s">
        <v>522</v>
      </c>
      <c r="O2" s="353" t="s">
        <v>523</v>
      </c>
      <c r="P2" s="360" t="s">
        <v>456</v>
      </c>
      <c r="Q2" s="302" t="s">
        <v>523</v>
      </c>
      <c r="R2" s="303" t="s">
        <v>567</v>
      </c>
    </row>
    <row r="3" spans="1:21" ht="18.75">
      <c r="A3" s="168" t="s">
        <v>524</v>
      </c>
      <c r="B3" s="173" t="e">
        <f>#REF!</f>
        <v>#REF!</v>
      </c>
      <c r="C3" s="169"/>
      <c r="D3" s="173" t="e">
        <f>#REF!</f>
        <v>#REF!</v>
      </c>
      <c r="E3" s="169"/>
      <c r="F3" s="280" t="e">
        <f>#REF!</f>
        <v>#REF!</v>
      </c>
      <c r="G3" s="336">
        <v>1</v>
      </c>
      <c r="H3" s="182"/>
      <c r="I3" s="168" t="s">
        <v>524</v>
      </c>
      <c r="J3" s="173">
        <v>177421244.30437601</v>
      </c>
      <c r="K3" s="169">
        <v>1</v>
      </c>
      <c r="L3" s="173">
        <v>184787418.77298051</v>
      </c>
      <c r="M3" s="169">
        <v>1</v>
      </c>
      <c r="N3" s="280">
        <v>362208663.07735652</v>
      </c>
      <c r="O3" s="336">
        <v>1</v>
      </c>
      <c r="P3" s="361" t="e">
        <f>F3-N3</f>
        <v>#REF!</v>
      </c>
      <c r="Q3" s="307" t="e">
        <f>F3/N3-1</f>
        <v>#REF!</v>
      </c>
      <c r="R3" s="308">
        <f>G3-O3</f>
        <v>0</v>
      </c>
    </row>
    <row r="4" spans="1:21">
      <c r="B4" s="201" t="e">
        <f>B3/F3</f>
        <v>#REF!</v>
      </c>
      <c r="C4" s="169">
        <v>1</v>
      </c>
      <c r="D4" s="201" t="e">
        <f>D3/F3</f>
        <v>#REF!</v>
      </c>
      <c r="E4" s="169">
        <v>1</v>
      </c>
      <c r="F4" s="280"/>
      <c r="G4" s="336">
        <v>1</v>
      </c>
      <c r="J4" s="201">
        <v>0.48983158712160441</v>
      </c>
      <c r="K4" s="169"/>
      <c r="L4" s="201">
        <v>0.51016841287839565</v>
      </c>
      <c r="M4" s="169"/>
      <c r="N4" s="280"/>
      <c r="O4" s="336"/>
      <c r="P4" s="362"/>
      <c r="Q4" s="302"/>
      <c r="R4" s="305"/>
    </row>
    <row r="5" spans="1:21">
      <c r="A5" s="168" t="s">
        <v>525</v>
      </c>
      <c r="F5" s="334"/>
      <c r="G5" s="335"/>
      <c r="I5" s="168" t="s">
        <v>525</v>
      </c>
      <c r="N5" s="334"/>
      <c r="O5" s="335"/>
    </row>
    <row r="6" spans="1:21">
      <c r="A6" s="168" t="s">
        <v>526</v>
      </c>
      <c r="B6" s="170" t="e">
        <f t="shared" ref="B6:B12" si="0">$B$3*C6</f>
        <v>#REF!</v>
      </c>
      <c r="C6" s="171" t="e">
        <f t="shared" ref="C6:C12" si="1">G6</f>
        <v>#REF!</v>
      </c>
      <c r="D6" s="170" t="e">
        <f t="shared" ref="D6:D12" si="2">$D$3*E6</f>
        <v>#REF!</v>
      </c>
      <c r="E6" s="171" t="e">
        <f t="shared" ref="E6:E12" si="3">G6</f>
        <v>#REF!</v>
      </c>
      <c r="F6" s="349" t="e">
        <f>#REF!</f>
        <v>#REF!</v>
      </c>
      <c r="G6" s="281" t="e">
        <f>F6/F3</f>
        <v>#REF!</v>
      </c>
      <c r="I6" s="168" t="s">
        <v>526</v>
      </c>
      <c r="J6" s="170">
        <v>68931391.050634161</v>
      </c>
      <c r="K6" s="171">
        <v>0.38851824831291637</v>
      </c>
      <c r="L6" s="170">
        <v>71793284.251943707</v>
      </c>
      <c r="M6" s="171">
        <v>0.38851824831291637</v>
      </c>
      <c r="N6" s="282">
        <v>140724675.30257785</v>
      </c>
      <c r="O6" s="281">
        <v>0.38851824831291637</v>
      </c>
      <c r="P6" s="363" t="e">
        <f>F6-N6</f>
        <v>#REF!</v>
      </c>
      <c r="Q6" s="310" t="e">
        <f>F6/N6-1</f>
        <v>#REF!</v>
      </c>
      <c r="R6" s="308" t="e">
        <f>G6-O6</f>
        <v>#REF!</v>
      </c>
    </row>
    <row r="7" spans="1:21">
      <c r="A7" s="168" t="s">
        <v>527</v>
      </c>
      <c r="B7" s="170" t="e">
        <f t="shared" si="0"/>
        <v>#REF!</v>
      </c>
      <c r="C7" s="171" t="e">
        <f t="shared" si="1"/>
        <v>#REF!</v>
      </c>
      <c r="D7" s="170" t="e">
        <f t="shared" si="2"/>
        <v>#REF!</v>
      </c>
      <c r="E7" s="171" t="e">
        <f t="shared" si="3"/>
        <v>#REF!</v>
      </c>
      <c r="F7" s="349" t="e">
        <f>#REF!</f>
        <v>#REF!</v>
      </c>
      <c r="G7" s="281" t="e">
        <f t="shared" ref="G7:G17" si="4">F7/$F$3</f>
        <v>#REF!</v>
      </c>
      <c r="I7" s="168" t="s">
        <v>527</v>
      </c>
      <c r="J7" s="170">
        <v>14075138.174651634</v>
      </c>
      <c r="K7" s="171">
        <v>7.9331752123804028E-2</v>
      </c>
      <c r="L7" s="170">
        <v>14659509.70169566</v>
      </c>
      <c r="M7" s="171">
        <v>7.9331752123804028E-2</v>
      </c>
      <c r="N7" s="282">
        <v>28734647.876347296</v>
      </c>
      <c r="O7" s="281">
        <v>7.9331752123804028E-2</v>
      </c>
      <c r="P7" s="364" t="e">
        <f>F7-N7</f>
        <v>#REF!</v>
      </c>
      <c r="Q7" s="312" t="e">
        <f>F7/N7-1</f>
        <v>#REF!</v>
      </c>
      <c r="R7" s="308" t="e">
        <f>G7-O7</f>
        <v>#REF!</v>
      </c>
    </row>
    <row r="8" spans="1:21">
      <c r="A8" s="168" t="s">
        <v>528</v>
      </c>
      <c r="B8" s="170" t="e">
        <f t="shared" si="0"/>
        <v>#REF!</v>
      </c>
      <c r="C8" s="171" t="e">
        <f t="shared" si="1"/>
        <v>#REF!</v>
      </c>
      <c r="D8" s="170" t="e">
        <f t="shared" si="2"/>
        <v>#REF!</v>
      </c>
      <c r="E8" s="171" t="e">
        <f t="shared" si="3"/>
        <v>#REF!</v>
      </c>
      <c r="F8" s="349" t="e">
        <f>SUM(#REF!,#REF!,#REF!,#REF!)+#REF!</f>
        <v>#REF!</v>
      </c>
      <c r="G8" s="281" t="e">
        <f t="shared" si="4"/>
        <v>#REF!</v>
      </c>
      <c r="I8" s="168" t="s">
        <v>528</v>
      </c>
      <c r="J8" s="170">
        <v>2665338.4975004434</v>
      </c>
      <c r="K8" s="171">
        <v>1.5022656998887388E-2</v>
      </c>
      <c r="L8" s="170">
        <v>2775998.0099362503</v>
      </c>
      <c r="M8" s="171">
        <v>1.5022656998887388E-2</v>
      </c>
      <c r="N8" s="282">
        <v>5441336.5074366936</v>
      </c>
      <c r="O8" s="281">
        <v>1.5022656998887388E-2</v>
      </c>
      <c r="P8" s="365"/>
      <c r="Q8" s="260"/>
      <c r="R8" s="296"/>
    </row>
    <row r="9" spans="1:21">
      <c r="A9" s="168" t="s">
        <v>529</v>
      </c>
      <c r="B9" s="170" t="e">
        <f t="shared" si="0"/>
        <v>#REF!</v>
      </c>
      <c r="C9" s="171" t="e">
        <f t="shared" si="1"/>
        <v>#REF!</v>
      </c>
      <c r="D9" s="170" t="e">
        <f t="shared" si="2"/>
        <v>#REF!</v>
      </c>
      <c r="E9" s="171" t="e">
        <f t="shared" si="3"/>
        <v>#REF!</v>
      </c>
      <c r="F9" s="349" t="e">
        <f>#REF!</f>
        <v>#REF!</v>
      </c>
      <c r="G9" s="281" t="e">
        <f>F9/$F$3</f>
        <v>#REF!</v>
      </c>
      <c r="I9" s="168" t="s">
        <v>529</v>
      </c>
      <c r="J9" s="170">
        <v>3529109.0330658732</v>
      </c>
      <c r="K9" s="171">
        <v>1.9891129987858108E-2</v>
      </c>
      <c r="L9" s="170">
        <v>3675630.5669341269</v>
      </c>
      <c r="M9" s="171">
        <v>1.9891129987858108E-2</v>
      </c>
      <c r="N9" s="282">
        <v>7204739.5999999996</v>
      </c>
      <c r="O9" s="281">
        <v>1.9891129987858108E-2</v>
      </c>
      <c r="P9" s="366" t="e">
        <f t="shared" ref="P9:P14" si="5">F9-N9</f>
        <v>#REF!</v>
      </c>
      <c r="Q9" s="312" t="e">
        <f t="shared" ref="Q9:Q14" si="6">F9/N9-1</f>
        <v>#REF!</v>
      </c>
      <c r="R9" s="308" t="e">
        <f t="shared" ref="R9:R14" si="7">G9-O9</f>
        <v>#REF!</v>
      </c>
    </row>
    <row r="10" spans="1:21">
      <c r="A10" s="168" t="s">
        <v>530</v>
      </c>
      <c r="B10" s="170" t="e">
        <f t="shared" si="0"/>
        <v>#REF!</v>
      </c>
      <c r="C10" s="171" t="e">
        <f t="shared" si="1"/>
        <v>#REF!</v>
      </c>
      <c r="D10" s="170" t="e">
        <f t="shared" si="2"/>
        <v>#REF!</v>
      </c>
      <c r="E10" s="171" t="e">
        <f t="shared" si="3"/>
        <v>#REF!</v>
      </c>
      <c r="F10" s="349" t="e">
        <f>#REF!+B46</f>
        <v>#REF!</v>
      </c>
      <c r="G10" s="281" t="e">
        <f t="shared" si="4"/>
        <v>#REF!</v>
      </c>
      <c r="I10" s="168" t="s">
        <v>530</v>
      </c>
      <c r="J10" s="170">
        <v>6359583.7097863909</v>
      </c>
      <c r="K10" s="171">
        <v>3.5844544630045383E-2</v>
      </c>
      <c r="L10" s="170">
        <v>6623620.8792789858</v>
      </c>
      <c r="M10" s="171">
        <v>3.5844544630045383E-2</v>
      </c>
      <c r="N10" s="282">
        <v>12983204.589065377</v>
      </c>
      <c r="O10" s="281">
        <v>3.5844544630045383E-2</v>
      </c>
      <c r="P10" s="367" t="e">
        <f t="shared" si="5"/>
        <v>#REF!</v>
      </c>
      <c r="Q10" s="316" t="e">
        <f t="shared" si="6"/>
        <v>#REF!</v>
      </c>
      <c r="R10" s="308" t="e">
        <f t="shared" si="7"/>
        <v>#REF!</v>
      </c>
    </row>
    <row r="11" spans="1:21">
      <c r="A11" s="168" t="s">
        <v>531</v>
      </c>
      <c r="B11" s="170" t="e">
        <f t="shared" si="0"/>
        <v>#REF!</v>
      </c>
      <c r="C11" s="171" t="e">
        <f t="shared" si="1"/>
        <v>#REF!</v>
      </c>
      <c r="D11" s="170" t="e">
        <f t="shared" si="2"/>
        <v>#REF!</v>
      </c>
      <c r="E11" s="171" t="e">
        <f t="shared" si="3"/>
        <v>#REF!</v>
      </c>
      <c r="F11" s="349" t="e">
        <f>#REF!-F34</f>
        <v>#REF!</v>
      </c>
      <c r="G11" s="281" t="e">
        <f t="shared" si="4"/>
        <v>#REF!</v>
      </c>
      <c r="I11" s="168" t="s">
        <v>531</v>
      </c>
      <c r="J11" s="170">
        <v>6941505.3060703762</v>
      </c>
      <c r="K11" s="171">
        <v>3.9124431424693643E-2</v>
      </c>
      <c r="L11" s="170">
        <v>7229702.6939296229</v>
      </c>
      <c r="M11" s="171">
        <v>3.9124431424693643E-2</v>
      </c>
      <c r="N11" s="282">
        <v>14171208</v>
      </c>
      <c r="O11" s="281">
        <v>3.9124431424693643E-2</v>
      </c>
      <c r="P11" s="367" t="e">
        <f t="shared" si="5"/>
        <v>#REF!</v>
      </c>
      <c r="Q11" s="316" t="e">
        <f t="shared" si="6"/>
        <v>#REF!</v>
      </c>
      <c r="R11" s="308" t="e">
        <f t="shared" si="7"/>
        <v>#REF!</v>
      </c>
    </row>
    <row r="12" spans="1:21">
      <c r="A12" s="168" t="s">
        <v>532</v>
      </c>
      <c r="B12" s="170" t="e">
        <f t="shared" si="0"/>
        <v>#REF!</v>
      </c>
      <c r="C12" s="171" t="e">
        <f t="shared" si="1"/>
        <v>#REF!</v>
      </c>
      <c r="D12" s="170" t="e">
        <f t="shared" si="2"/>
        <v>#REF!</v>
      </c>
      <c r="E12" s="171" t="e">
        <f t="shared" si="3"/>
        <v>#REF!</v>
      </c>
      <c r="F12" s="349" t="e">
        <f>#REF!</f>
        <v>#REF!</v>
      </c>
      <c r="G12" s="281" t="e">
        <f t="shared" si="4"/>
        <v>#REF!</v>
      </c>
      <c r="I12" s="168" t="s">
        <v>532</v>
      </c>
      <c r="J12" s="170">
        <v>2649566.7298728344</v>
      </c>
      <c r="K12" s="171">
        <v>1.4933762528050787E-2</v>
      </c>
      <c r="L12" s="170">
        <v>2759571.4301271648</v>
      </c>
      <c r="M12" s="171">
        <v>1.4933762528050787E-2</v>
      </c>
      <c r="N12" s="282">
        <v>5409138.1599999992</v>
      </c>
      <c r="O12" s="281">
        <v>1.4933762528050787E-2</v>
      </c>
      <c r="P12" s="367" t="e">
        <f t="shared" si="5"/>
        <v>#REF!</v>
      </c>
      <c r="Q12" s="316" t="e">
        <f t="shared" si="6"/>
        <v>#REF!</v>
      </c>
      <c r="R12" s="308" t="e">
        <f t="shared" si="7"/>
        <v>#REF!</v>
      </c>
    </row>
    <row r="13" spans="1:21">
      <c r="A13" s="172" t="s">
        <v>533</v>
      </c>
      <c r="B13" s="173" t="e">
        <f>#REF!*B4</f>
        <v>#REF!</v>
      </c>
      <c r="C13" s="189" t="e">
        <f>B13/$B$3</f>
        <v>#REF!</v>
      </c>
      <c r="D13" s="170" t="e">
        <f>#REF!*D4</f>
        <v>#REF!</v>
      </c>
      <c r="E13" s="174" t="e">
        <f>D13/$D$3</f>
        <v>#REF!</v>
      </c>
      <c r="F13" s="349" t="e">
        <f>B13+D13</f>
        <v>#REF!</v>
      </c>
      <c r="G13" s="337" t="e">
        <f t="shared" si="4"/>
        <v>#REF!</v>
      </c>
      <c r="I13" s="172" t="s">
        <v>533</v>
      </c>
      <c r="J13" s="173">
        <v>1468382.7573954202</v>
      </c>
      <c r="K13" s="189">
        <v>1.74492930187461E-2</v>
      </c>
      <c r="L13" s="170">
        <v>1529347.0664897086</v>
      </c>
      <c r="M13" s="174">
        <v>8.2762510383273379E-3</v>
      </c>
      <c r="N13" s="282">
        <v>2997729.8238851288</v>
      </c>
      <c r="O13" s="337">
        <v>8.2762510383273379E-3</v>
      </c>
      <c r="P13" s="367" t="e">
        <f t="shared" si="5"/>
        <v>#REF!</v>
      </c>
      <c r="Q13" s="316" t="e">
        <f t="shared" si="6"/>
        <v>#REF!</v>
      </c>
      <c r="R13" s="308" t="e">
        <f t="shared" si="7"/>
        <v>#REF!</v>
      </c>
      <c r="T13" s="175">
        <v>2997729.8238851288</v>
      </c>
      <c r="U13" s="217">
        <v>0.5125181515931293</v>
      </c>
    </row>
    <row r="14" spans="1:21" s="172" customFormat="1">
      <c r="A14" s="172" t="s">
        <v>534</v>
      </c>
      <c r="B14" s="232">
        <f>5509244.59489207+540000</f>
        <v>6049244.5948920697</v>
      </c>
      <c r="C14" s="174" t="e">
        <f>B14/$B$3</f>
        <v>#REF!</v>
      </c>
      <c r="D14" s="232">
        <v>7131351.4051079284</v>
      </c>
      <c r="E14" s="174" t="e">
        <f>D14/$D$3</f>
        <v>#REF!</v>
      </c>
      <c r="F14" s="349">
        <f>B14+D14</f>
        <v>13180595.999999998</v>
      </c>
      <c r="G14" s="283" t="e">
        <f t="shared" si="4"/>
        <v>#REF!</v>
      </c>
      <c r="I14" s="172" t="s">
        <v>534</v>
      </c>
      <c r="J14" s="173">
        <v>8410217.0584256705</v>
      </c>
      <c r="K14" s="174">
        <v>4.7402536778501425E-2</v>
      </c>
      <c r="L14" s="173">
        <v>8759392.4145905543</v>
      </c>
      <c r="M14" s="174">
        <v>4.7402536778501432E-2</v>
      </c>
      <c r="N14" s="282">
        <v>17169609.473016225</v>
      </c>
      <c r="O14" s="283">
        <v>4.7402536778501432E-2</v>
      </c>
      <c r="P14" s="367">
        <f t="shared" si="5"/>
        <v>-3989013.4730162267</v>
      </c>
      <c r="Q14" s="316">
        <f t="shared" si="6"/>
        <v>-0.23232988958108591</v>
      </c>
      <c r="R14" s="308" t="e">
        <f t="shared" si="7"/>
        <v>#REF!</v>
      </c>
      <c r="T14" s="175">
        <v>17169609.473016225</v>
      </c>
      <c r="U14" s="217">
        <v>0.2865952196172033</v>
      </c>
    </row>
    <row r="15" spans="1:21" s="172" customFormat="1">
      <c r="A15" s="172" t="s">
        <v>578</v>
      </c>
      <c r="B15" s="232"/>
      <c r="C15" s="174"/>
      <c r="D15" s="232">
        <f>F15</f>
        <v>840000</v>
      </c>
      <c r="E15" s="174" t="e">
        <f>D15/$D$3</f>
        <v>#REF!</v>
      </c>
      <c r="F15" s="349">
        <v>840000</v>
      </c>
      <c r="G15" s="283" t="e">
        <f t="shared" si="4"/>
        <v>#REF!</v>
      </c>
      <c r="J15" s="173"/>
      <c r="K15" s="174"/>
      <c r="L15" s="173"/>
      <c r="M15" s="174"/>
      <c r="N15" s="282"/>
      <c r="O15" s="283"/>
      <c r="P15" s="367"/>
      <c r="Q15" s="316"/>
      <c r="R15" s="308"/>
      <c r="T15" s="175"/>
      <c r="U15" s="217"/>
    </row>
    <row r="16" spans="1:21" s="172" customFormat="1">
      <c r="A16" s="172" t="s">
        <v>579</v>
      </c>
      <c r="B16" s="232" t="e">
        <f>B3*C16</f>
        <v>#REF!</v>
      </c>
      <c r="C16" s="174" t="e">
        <f>G16</f>
        <v>#REF!</v>
      </c>
      <c r="D16" s="232" t="e">
        <f>D3*E16</f>
        <v>#REF!</v>
      </c>
      <c r="E16" s="174" t="e">
        <f>G16</f>
        <v>#REF!</v>
      </c>
      <c r="F16" s="349">
        <f>2840641-840000</f>
        <v>2000641</v>
      </c>
      <c r="G16" s="283" t="e">
        <f t="shared" si="4"/>
        <v>#REF!</v>
      </c>
      <c r="J16" s="173"/>
      <c r="K16" s="174"/>
      <c r="L16" s="173"/>
      <c r="M16" s="174"/>
      <c r="N16" s="282"/>
      <c r="O16" s="283"/>
      <c r="P16" s="367"/>
      <c r="Q16" s="316"/>
      <c r="R16" s="308"/>
      <c r="T16" s="175"/>
      <c r="U16" s="217"/>
    </row>
    <row r="17" spans="1:18" s="172" customFormat="1" ht="16.5" thickBot="1">
      <c r="A17" s="176" t="s">
        <v>510</v>
      </c>
      <c r="B17" s="333" t="e">
        <f>$B$3*C17</f>
        <v>#REF!</v>
      </c>
      <c r="C17" s="177" t="e">
        <f>G17</f>
        <v>#REF!</v>
      </c>
      <c r="D17" s="333" t="e">
        <f>$D$3*E17</f>
        <v>#REF!</v>
      </c>
      <c r="E17" s="177" t="e">
        <f>G17</f>
        <v>#REF!</v>
      </c>
      <c r="F17" s="350" t="e">
        <f>#REF!</f>
        <v>#REF!</v>
      </c>
      <c r="G17" s="284" t="e">
        <f t="shared" si="4"/>
        <v>#REF!</v>
      </c>
      <c r="H17" s="168"/>
      <c r="I17" s="176" t="s">
        <v>510</v>
      </c>
      <c r="J17" s="333">
        <v>1309715.0921786446</v>
      </c>
      <c r="K17" s="177">
        <v>7.3819519038642043E-3</v>
      </c>
      <c r="L17" s="333">
        <v>1364091.8378213556</v>
      </c>
      <c r="M17" s="177">
        <v>7.3819519038642043E-3</v>
      </c>
      <c r="N17" s="330">
        <v>2673806.9300000002</v>
      </c>
      <c r="O17" s="284">
        <v>7.3819519038642043E-3</v>
      </c>
      <c r="P17" s="368" t="e">
        <f>F17-N19</f>
        <v>#REF!</v>
      </c>
      <c r="Q17" s="259" t="e">
        <f>F17/N19-1</f>
        <v>#REF!</v>
      </c>
      <c r="R17" s="341" t="e">
        <f>G17-O19</f>
        <v>#REF!</v>
      </c>
    </row>
    <row r="18" spans="1:18">
      <c r="A18" s="178" t="s">
        <v>535</v>
      </c>
      <c r="B18" s="179" t="e">
        <f>B3-SUM(B6:B17)</f>
        <v>#REF!</v>
      </c>
      <c r="C18" s="180" t="e">
        <f>C4-SUM(C6:C17)</f>
        <v>#REF!</v>
      </c>
      <c r="D18" s="179" t="e">
        <f>D3-SUM(D6:D17)</f>
        <v>#REF!</v>
      </c>
      <c r="E18" s="180" t="e">
        <f>E4-SUM(E6:E17)</f>
        <v>#REF!</v>
      </c>
      <c r="F18" s="278" t="e">
        <f>F3-SUM(F6:F17)</f>
        <v>#REF!</v>
      </c>
      <c r="G18" s="286" t="e">
        <f>G4-SUM(G6:G17)</f>
        <v>#REF!</v>
      </c>
      <c r="I18" s="178" t="s">
        <v>535</v>
      </c>
      <c r="J18" s="179">
        <v>61081296.894794568</v>
      </c>
      <c r="K18" s="180">
        <v>0.33509969229263237</v>
      </c>
      <c r="L18" s="179">
        <v>63617269.920233384</v>
      </c>
      <c r="M18" s="180">
        <v>0.34427273427305116</v>
      </c>
      <c r="N18" s="278">
        <v>124698566.81502792</v>
      </c>
      <c r="O18" s="286">
        <v>0.34427273427305116</v>
      </c>
      <c r="P18" s="367" t="e">
        <f>F18-N20</f>
        <v>#REF!</v>
      </c>
      <c r="Q18" s="316" t="e">
        <f>F18/N20-1</f>
        <v>#REF!</v>
      </c>
      <c r="R18" s="308" t="e">
        <f>G18-O20</f>
        <v>#REF!</v>
      </c>
    </row>
    <row r="19" spans="1:18" s="182" customFormat="1">
      <c r="A19" s="168"/>
      <c r="B19" s="170"/>
      <c r="C19" s="168"/>
      <c r="D19" s="170"/>
      <c r="E19" s="168"/>
      <c r="F19" s="334"/>
      <c r="G19" s="335"/>
      <c r="I19" s="183"/>
      <c r="J19" s="170"/>
      <c r="K19" s="168"/>
      <c r="L19" s="170"/>
      <c r="M19" s="168"/>
      <c r="N19" s="334"/>
      <c r="O19" s="335"/>
      <c r="R19" s="290"/>
    </row>
    <row r="20" spans="1:18">
      <c r="A20" s="185" t="s">
        <v>536</v>
      </c>
      <c r="B20" s="170"/>
      <c r="C20" s="170"/>
      <c r="D20" s="170"/>
      <c r="E20" s="170"/>
      <c r="F20" s="280"/>
      <c r="G20" s="338"/>
      <c r="H20" s="182"/>
      <c r="I20" s="185" t="s">
        <v>536</v>
      </c>
      <c r="J20" s="170"/>
      <c r="K20" s="170"/>
      <c r="L20" s="170"/>
      <c r="M20" s="170"/>
      <c r="N20" s="280"/>
      <c r="O20" s="338"/>
      <c r="P20" s="365"/>
      <c r="Q20" s="260"/>
      <c r="R20" s="296"/>
    </row>
    <row r="21" spans="1:18" s="170" customFormat="1">
      <c r="A21" s="186" t="s">
        <v>537</v>
      </c>
      <c r="B21" s="179">
        <f t="shared" ref="B21:G21" si="8">SUM(B22:B23)</f>
        <v>15651788.005781595</v>
      </c>
      <c r="C21" s="187" t="e">
        <f t="shared" si="8"/>
        <v>#REF!</v>
      </c>
      <c r="D21" s="179">
        <f t="shared" si="8"/>
        <v>0</v>
      </c>
      <c r="E21" s="188" t="e">
        <f t="shared" si="8"/>
        <v>#REF!</v>
      </c>
      <c r="F21" s="287">
        <f t="shared" si="8"/>
        <v>15651788.005781595</v>
      </c>
      <c r="G21" s="339" t="e">
        <f t="shared" si="8"/>
        <v>#REF!</v>
      </c>
      <c r="H21" s="168"/>
      <c r="I21" s="186" t="s">
        <v>537</v>
      </c>
      <c r="J21" s="179">
        <v>10049214.49309865</v>
      </c>
      <c r="K21" s="187">
        <v>5.6640423938514733E-2</v>
      </c>
      <c r="L21" s="179">
        <v>0</v>
      </c>
      <c r="M21" s="188">
        <v>0</v>
      </c>
      <c r="N21" s="287">
        <v>10049214.49309865</v>
      </c>
      <c r="O21" s="339">
        <v>2.7744268753043186E-2</v>
      </c>
      <c r="P21" s="369">
        <f>F21-N23</f>
        <v>12500099.479666725</v>
      </c>
      <c r="Q21" s="318">
        <f>F21/N23-1</f>
        <v>3.9661595288020948</v>
      </c>
      <c r="R21" s="319" t="e">
        <f>G21-O23</f>
        <v>#REF!</v>
      </c>
    </row>
    <row r="22" spans="1:18" s="182" customFormat="1">
      <c r="A22" s="172" t="s">
        <v>538</v>
      </c>
      <c r="B22" s="232">
        <v>10973082.600000001</v>
      </c>
      <c r="C22" s="189" t="e">
        <f>B22/$B$3</f>
        <v>#REF!</v>
      </c>
      <c r="D22" s="173"/>
      <c r="E22" s="174" t="e">
        <f>D22/$D$3</f>
        <v>#REF!</v>
      </c>
      <c r="F22" s="349">
        <f>B22+D22</f>
        <v>10973082.600000001</v>
      </c>
      <c r="G22" s="337" t="e">
        <f>F22/$F$3</f>
        <v>#REF!</v>
      </c>
      <c r="I22" s="172" t="s">
        <v>538</v>
      </c>
      <c r="J22" s="173">
        <v>6897525.9669837784</v>
      </c>
      <c r="K22" s="189">
        <v>3.8876550516975798E-2</v>
      </c>
      <c r="L22" s="173"/>
      <c r="M22" s="174">
        <v>0</v>
      </c>
      <c r="N22" s="282">
        <v>6897525.9669837784</v>
      </c>
      <c r="O22" s="337">
        <v>1.9042962441543486E-2</v>
      </c>
      <c r="P22" s="367">
        <f>F22-N24</f>
        <v>10973082.600000001</v>
      </c>
      <c r="Q22" s="316" t="e">
        <f>F22/N24-1</f>
        <v>#DIV/0!</v>
      </c>
      <c r="R22" s="308" t="e">
        <f>G22-O24</f>
        <v>#REF!</v>
      </c>
    </row>
    <row r="23" spans="1:18" s="172" customFormat="1">
      <c r="A23" s="172" t="s">
        <v>539</v>
      </c>
      <c r="B23" s="232">
        <v>4678705.4057815941</v>
      </c>
      <c r="C23" s="189" t="e">
        <f>B23/$B$3</f>
        <v>#REF!</v>
      </c>
      <c r="E23" s="174" t="e">
        <f>D23/$D$3</f>
        <v>#REF!</v>
      </c>
      <c r="F23" s="349">
        <f>B23+D23</f>
        <v>4678705.4057815941</v>
      </c>
      <c r="G23" s="337" t="e">
        <f>F23/$F$3</f>
        <v>#REF!</v>
      </c>
      <c r="I23" s="172" t="s">
        <v>539</v>
      </c>
      <c r="J23" s="173">
        <v>3151688.5261148708</v>
      </c>
      <c r="K23" s="189">
        <v>1.7763873421538932E-2</v>
      </c>
      <c r="M23" s="174"/>
      <c r="N23" s="282">
        <v>3151688.5261148708</v>
      </c>
      <c r="O23" s="337">
        <v>8.7013063114997E-3</v>
      </c>
      <c r="P23" s="367">
        <f>F23-N25</f>
        <v>-96389658.434936658</v>
      </c>
      <c r="Q23" s="316">
        <f>F23/N25-1</f>
        <v>-0.95370751807998855</v>
      </c>
      <c r="R23" s="308" t="e">
        <f>G23-O25</f>
        <v>#REF!</v>
      </c>
    </row>
    <row r="24" spans="1:18" s="172" customFormat="1">
      <c r="A24" s="168"/>
      <c r="B24" s="168"/>
      <c r="C24" s="168"/>
      <c r="D24" s="168"/>
      <c r="E24" s="168"/>
      <c r="F24" s="334"/>
      <c r="G24" s="335"/>
      <c r="H24" s="170"/>
      <c r="I24" s="168"/>
      <c r="J24" s="168"/>
      <c r="K24" s="168"/>
      <c r="L24" s="168"/>
      <c r="M24" s="168"/>
      <c r="N24" s="334"/>
      <c r="O24" s="335"/>
      <c r="P24" s="370"/>
      <c r="Q24" s="342"/>
      <c r="R24" s="321"/>
    </row>
    <row r="25" spans="1:18">
      <c r="A25" s="186" t="s">
        <v>540</v>
      </c>
      <c r="B25" s="181" t="e">
        <f t="shared" ref="B25:G25" si="9">SUM(B26:B35)</f>
        <v>#REF!</v>
      </c>
      <c r="C25" s="187" t="e">
        <f t="shared" si="9"/>
        <v>#REF!</v>
      </c>
      <c r="D25" s="181" t="e">
        <f>SUM(D26:D35)</f>
        <v>#REF!</v>
      </c>
      <c r="E25" s="188" t="e">
        <f t="shared" si="9"/>
        <v>#REF!</v>
      </c>
      <c r="F25" s="287" t="e">
        <f>SUM(F26:F35)</f>
        <v>#REF!</v>
      </c>
      <c r="G25" s="339" t="e">
        <f t="shared" si="9"/>
        <v>#REF!</v>
      </c>
      <c r="H25" s="182"/>
      <c r="I25" s="186" t="s">
        <v>540</v>
      </c>
      <c r="J25" s="181">
        <v>43893566.3670853</v>
      </c>
      <c r="K25" s="187">
        <v>0.24739746662910025</v>
      </c>
      <c r="L25" s="181">
        <v>57174797.473632969</v>
      </c>
      <c r="M25" s="188">
        <v>0.30940849681911914</v>
      </c>
      <c r="N25" s="287">
        <v>101068363.84071825</v>
      </c>
      <c r="O25" s="339">
        <v>0.27903353548209642</v>
      </c>
      <c r="P25" s="369" t="e">
        <f t="shared" ref="P25:P32" si="10">F25-N27</f>
        <v>#REF!</v>
      </c>
      <c r="Q25" s="318" t="e">
        <f t="shared" ref="Q25:Q32" si="11">F25/N27-1</f>
        <v>#REF!</v>
      </c>
      <c r="R25" s="319" t="e">
        <f t="shared" ref="R25:R32" si="12">G25-O27</f>
        <v>#REF!</v>
      </c>
    </row>
    <row r="26" spans="1:18" s="182" customFormat="1">
      <c r="A26" s="168" t="s">
        <v>541</v>
      </c>
      <c r="B26" s="170">
        <v>20748091</v>
      </c>
      <c r="C26" s="171" t="e">
        <f>B26/$B$3</f>
        <v>#REF!</v>
      </c>
      <c r="D26" s="170">
        <v>386100</v>
      </c>
      <c r="E26" s="233" t="e">
        <f>D26/$D$3</f>
        <v>#REF!</v>
      </c>
      <c r="F26" s="282" t="e">
        <f>#REF!</f>
        <v>#REF!</v>
      </c>
      <c r="G26" s="340" t="e">
        <f t="shared" ref="G26:G35" si="13">F26/$F$3</f>
        <v>#REF!</v>
      </c>
      <c r="H26" s="198"/>
      <c r="I26" s="168" t="s">
        <v>541</v>
      </c>
      <c r="J26" s="170">
        <v>18636248.879999999</v>
      </c>
      <c r="K26" s="171">
        <v>0.10503955686404993</v>
      </c>
      <c r="L26" s="170"/>
      <c r="M26" s="233"/>
      <c r="N26" s="282">
        <v>18636248.879999999</v>
      </c>
      <c r="O26" s="340">
        <v>5.1451692849267594E-2</v>
      </c>
      <c r="P26" s="371" t="e">
        <f t="shared" si="10"/>
        <v>#REF!</v>
      </c>
      <c r="Q26" s="316" t="e">
        <f t="shared" si="11"/>
        <v>#REF!</v>
      </c>
      <c r="R26" s="308" t="e">
        <f t="shared" si="12"/>
        <v>#REF!</v>
      </c>
    </row>
    <row r="27" spans="1:18">
      <c r="A27" s="168" t="s">
        <v>542</v>
      </c>
      <c r="B27" s="170" t="e">
        <f>F27</f>
        <v>#REF!</v>
      </c>
      <c r="C27" s="171" t="e">
        <f>B27/$B$3</f>
        <v>#REF!</v>
      </c>
      <c r="D27" s="170"/>
      <c r="F27" s="282" t="e">
        <f>#REF!+#REF!</f>
        <v>#REF!</v>
      </c>
      <c r="G27" s="340" t="e">
        <f t="shared" si="13"/>
        <v>#REF!</v>
      </c>
      <c r="I27" s="168" t="s">
        <v>542</v>
      </c>
      <c r="J27" s="170">
        <v>2429416.3299999996</v>
      </c>
      <c r="K27" s="171">
        <v>1.3692928034211059E-2</v>
      </c>
      <c r="L27" s="170"/>
      <c r="N27" s="282">
        <v>2429416.3299999996</v>
      </c>
      <c r="O27" s="340">
        <v>6.7072286713395143E-3</v>
      </c>
      <c r="P27" s="367" t="e">
        <f t="shared" si="10"/>
        <v>#REF!</v>
      </c>
      <c r="Q27" s="316" t="e">
        <f t="shared" si="11"/>
        <v>#REF!</v>
      </c>
      <c r="R27" s="308" t="e">
        <f t="shared" si="12"/>
        <v>#REF!</v>
      </c>
    </row>
    <row r="28" spans="1:18">
      <c r="A28" s="168" t="s">
        <v>543</v>
      </c>
      <c r="B28" s="170" t="e">
        <f>F28</f>
        <v>#REF!</v>
      </c>
      <c r="C28" s="171" t="e">
        <f>B28/$B$3</f>
        <v>#REF!</v>
      </c>
      <c r="D28" s="170"/>
      <c r="F28" s="282" t="e">
        <f>#REF!</f>
        <v>#REF!</v>
      </c>
      <c r="G28" s="340" t="e">
        <f t="shared" si="13"/>
        <v>#REF!</v>
      </c>
      <c r="H28" s="182"/>
      <c r="I28" s="168" t="s">
        <v>543</v>
      </c>
      <c r="J28" s="170">
        <v>10012367.630000001</v>
      </c>
      <c r="K28" s="171">
        <v>5.6432743830965519E-2</v>
      </c>
      <c r="L28" s="170"/>
      <c r="N28" s="282">
        <v>10012367.630000001</v>
      </c>
      <c r="O28" s="340">
        <v>2.7642540476348766E-2</v>
      </c>
      <c r="P28" s="367" t="e">
        <f t="shared" si="10"/>
        <v>#REF!</v>
      </c>
      <c r="Q28" s="316" t="e">
        <f t="shared" si="11"/>
        <v>#REF!</v>
      </c>
      <c r="R28" s="308" t="e">
        <f t="shared" si="12"/>
        <v>#REF!</v>
      </c>
    </row>
    <row r="29" spans="1:18">
      <c r="A29" s="168" t="s">
        <v>544</v>
      </c>
      <c r="B29" s="170" t="e">
        <f>'P&amp;L Monthly'!Z45-Модель!D29</f>
        <v>#REF!</v>
      </c>
      <c r="C29" s="171" t="e">
        <f>B29/$B$3</f>
        <v>#REF!</v>
      </c>
      <c r="D29" s="170" t="e">
        <f>#REF!+#REF!+#REF!+#REF!</f>
        <v>#REF!</v>
      </c>
      <c r="E29" s="171">
        <v>1.55765565989047E-2</v>
      </c>
      <c r="F29" s="282" t="e">
        <f>B29+D29</f>
        <v>#REF!</v>
      </c>
      <c r="G29" s="340" t="e">
        <f t="shared" si="13"/>
        <v>#REF!</v>
      </c>
      <c r="I29" s="168" t="s">
        <v>544</v>
      </c>
      <c r="J29" s="170">
        <v>308837.75271716854</v>
      </c>
      <c r="K29" s="171">
        <v>1.740703340955834E-3</v>
      </c>
      <c r="L29" s="170">
        <v>2878351.6872828314</v>
      </c>
      <c r="M29" s="171">
        <v>1.5576556598904676E-2</v>
      </c>
      <c r="N29" s="282">
        <v>3187189.44</v>
      </c>
      <c r="O29" s="340">
        <v>8.7993186383819744E-3</v>
      </c>
      <c r="P29" s="367" t="e">
        <f t="shared" si="10"/>
        <v>#REF!</v>
      </c>
      <c r="Q29" s="316" t="e">
        <f t="shared" si="11"/>
        <v>#REF!</v>
      </c>
      <c r="R29" s="308" t="e">
        <f t="shared" si="12"/>
        <v>#REF!</v>
      </c>
    </row>
    <row r="30" spans="1:18">
      <c r="A30" s="168" t="s">
        <v>545</v>
      </c>
      <c r="B30" s="170" t="e">
        <f>F30</f>
        <v>#REF!</v>
      </c>
      <c r="C30" s="171" t="e">
        <f>B30/$B$3</f>
        <v>#REF!</v>
      </c>
      <c r="D30" s="170"/>
      <c r="F30" s="282" t="e">
        <f>#REF!</f>
        <v>#REF!</v>
      </c>
      <c r="G30" s="340" t="e">
        <f t="shared" si="13"/>
        <v>#REF!</v>
      </c>
      <c r="I30" s="168" t="s">
        <v>545</v>
      </c>
      <c r="J30" s="170">
        <v>3303490.0999999996</v>
      </c>
      <c r="K30" s="171">
        <v>1.8619473180633762E-2</v>
      </c>
      <c r="L30" s="170"/>
      <c r="N30" s="282">
        <v>3303490.0999999996</v>
      </c>
      <c r="O30" s="340">
        <v>9.1204060994379832E-3</v>
      </c>
      <c r="P30" s="367" t="e">
        <f t="shared" si="10"/>
        <v>#REF!</v>
      </c>
      <c r="Q30" s="316" t="e">
        <f t="shared" si="11"/>
        <v>#REF!</v>
      </c>
      <c r="R30" s="308" t="e">
        <f t="shared" si="12"/>
        <v>#REF!</v>
      </c>
    </row>
    <row r="31" spans="1:18">
      <c r="A31" s="168" t="s">
        <v>546</v>
      </c>
      <c r="B31" s="170"/>
      <c r="D31" s="170">
        <f>F31</f>
        <v>0</v>
      </c>
      <c r="E31" s="171" t="e">
        <f>D31/$D$3</f>
        <v>#REF!</v>
      </c>
      <c r="F31" s="282">
        <f>'P&amp;L Monthly'!Z11</f>
        <v>0</v>
      </c>
      <c r="G31" s="340" t="e">
        <f t="shared" si="13"/>
        <v>#REF!</v>
      </c>
      <c r="I31" s="168" t="s">
        <v>546</v>
      </c>
      <c r="J31" s="170"/>
      <c r="L31" s="170">
        <v>44205574.603567638</v>
      </c>
      <c r="M31" s="171">
        <v>0.23922394120281606</v>
      </c>
      <c r="N31" s="282">
        <v>44205574.603567638</v>
      </c>
      <c r="O31" s="340">
        <v>0.1220444984059553</v>
      </c>
      <c r="P31" s="367">
        <f t="shared" si="10"/>
        <v>-780933.77</v>
      </c>
      <c r="Q31" s="316">
        <f t="shared" si="11"/>
        <v>-1</v>
      </c>
      <c r="R31" s="308" t="e">
        <f t="shared" si="12"/>
        <v>#REF!</v>
      </c>
    </row>
    <row r="32" spans="1:18">
      <c r="A32" s="172" t="s">
        <v>547</v>
      </c>
      <c r="B32" s="173" t="e">
        <f>B45</f>
        <v>#REF!</v>
      </c>
      <c r="C32" s="174" t="e">
        <f>B32/$B$3</f>
        <v>#REF!</v>
      </c>
      <c r="D32" s="192" t="e">
        <f>B44</f>
        <v>#REF!</v>
      </c>
      <c r="E32" s="174" t="e">
        <f>B44/$D$3</f>
        <v>#REF!</v>
      </c>
      <c r="F32" s="282" t="e">
        <f>B32+B44</f>
        <v>#REF!</v>
      </c>
      <c r="G32" s="337" t="e">
        <f t="shared" si="13"/>
        <v>#REF!</v>
      </c>
      <c r="I32" s="168" t="s">
        <v>547</v>
      </c>
      <c r="J32" s="173">
        <v>8493520.6971506346</v>
      </c>
      <c r="K32" s="174">
        <v>4.7872061378284148E-2</v>
      </c>
      <c r="L32" s="192">
        <v>3220000</v>
      </c>
      <c r="M32" s="174">
        <v>1.7425428751488281E-2</v>
      </c>
      <c r="N32" s="282">
        <v>11713520.697150635</v>
      </c>
      <c r="O32" s="337">
        <v>3.2339151133580123E-2</v>
      </c>
      <c r="P32" s="367" t="e">
        <f t="shared" si="10"/>
        <v>#REF!</v>
      </c>
      <c r="Q32" s="316" t="e">
        <f t="shared" si="11"/>
        <v>#REF!</v>
      </c>
      <c r="R32" s="308" t="e">
        <f t="shared" si="12"/>
        <v>#REF!</v>
      </c>
    </row>
    <row r="33" spans="1:19">
      <c r="A33" s="172" t="s">
        <v>563</v>
      </c>
      <c r="B33" s="173"/>
      <c r="C33" s="174"/>
      <c r="D33" s="173" t="e">
        <f>'P&amp;L Monthly'!#REF!</f>
        <v>#REF!</v>
      </c>
      <c r="E33" s="174" t="e">
        <f>D33/$D$3</f>
        <v>#REF!</v>
      </c>
      <c r="F33" s="282" t="e">
        <f>B33+D33</f>
        <v>#REF!</v>
      </c>
      <c r="G33" s="337" t="e">
        <f t="shared" si="13"/>
        <v>#REF!</v>
      </c>
      <c r="J33" s="173"/>
      <c r="K33" s="174"/>
      <c r="L33" s="173">
        <v>780933.77</v>
      </c>
      <c r="M33" s="174">
        <v>4.2261198039646392E-3</v>
      </c>
      <c r="N33" s="282">
        <v>780933.77</v>
      </c>
      <c r="O33" s="337">
        <v>2.1560328330225962E-3</v>
      </c>
      <c r="P33" s="372"/>
      <c r="Q33" s="271"/>
      <c r="R33" s="296"/>
    </row>
    <row r="34" spans="1:19">
      <c r="A34" s="172" t="s">
        <v>548</v>
      </c>
      <c r="B34" s="173"/>
      <c r="C34" s="172"/>
      <c r="D34" s="173">
        <f>F34</f>
        <v>6000000</v>
      </c>
      <c r="E34" s="174" t="e">
        <f>D34/$D$3</f>
        <v>#REF!</v>
      </c>
      <c r="F34" s="282">
        <v>6000000</v>
      </c>
      <c r="G34" s="337" t="e">
        <f t="shared" si="13"/>
        <v>#REF!</v>
      </c>
      <c r="I34" s="168" t="s">
        <v>548</v>
      </c>
      <c r="J34" s="173"/>
      <c r="K34" s="172"/>
      <c r="L34" s="173">
        <v>6000000</v>
      </c>
      <c r="M34" s="174">
        <v>3.2469743015195555E-2</v>
      </c>
      <c r="N34" s="282">
        <v>6000000</v>
      </c>
      <c r="O34" s="337">
        <v>1.6565037260631688E-2</v>
      </c>
      <c r="P34" s="367">
        <f>F34-N36</f>
        <v>6000000</v>
      </c>
      <c r="Q34" s="316" t="e">
        <f>F34/N36-1</f>
        <v>#DIV/0!</v>
      </c>
      <c r="R34" s="308" t="e">
        <f>G34-O36</f>
        <v>#REF!</v>
      </c>
    </row>
    <row r="35" spans="1:19" s="172" customFormat="1" ht="16.5" thickBot="1">
      <c r="A35" s="176" t="s">
        <v>549</v>
      </c>
      <c r="B35" s="333">
        <v>1182583</v>
      </c>
      <c r="C35" s="194">
        <v>6.0000000000000001E-3</v>
      </c>
      <c r="D35" s="333" t="e">
        <f>F35-B35</f>
        <v>#REF!</v>
      </c>
      <c r="E35" s="194" t="e">
        <f>D35/$D$3</f>
        <v>#REF!</v>
      </c>
      <c r="F35" s="288" t="e">
        <f>#REF!</f>
        <v>#REF!</v>
      </c>
      <c r="G35" s="284" t="e">
        <f t="shared" si="13"/>
        <v>#REF!</v>
      </c>
      <c r="H35" s="168"/>
      <c r="I35" s="176" t="s">
        <v>549</v>
      </c>
      <c r="J35" s="333">
        <v>709684.97721750406</v>
      </c>
      <c r="K35" s="194">
        <v>4.0000000000000001E-3</v>
      </c>
      <c r="L35" s="333">
        <v>89937.412782495958</v>
      </c>
      <c r="M35" s="194">
        <v>4.8670744674986791E-4</v>
      </c>
      <c r="N35" s="288">
        <v>799622.39</v>
      </c>
      <c r="O35" s="284">
        <v>2.207629114130894E-3</v>
      </c>
      <c r="P35" s="368" t="e">
        <f>F35-N37</f>
        <v>#REF!</v>
      </c>
      <c r="Q35" s="259" t="e">
        <f>F35/N37-1</f>
        <v>#REF!</v>
      </c>
      <c r="R35" s="341" t="e">
        <f>G35-O37</f>
        <v>#REF!</v>
      </c>
    </row>
    <row r="36" spans="1:19" s="172" customFormat="1">
      <c r="C36" s="199" t="e">
        <f>SUM(C21+C25)</f>
        <v>#REF!</v>
      </c>
      <c r="E36" s="199" t="e">
        <f>SUM(E21+E25)</f>
        <v>#REF!</v>
      </c>
      <c r="G36" s="199" t="e">
        <f>SUM(G21+G25)</f>
        <v>#REF!</v>
      </c>
      <c r="H36" s="168"/>
      <c r="I36" s="168"/>
      <c r="K36" s="199">
        <v>0.30403789056761499</v>
      </c>
      <c r="M36" s="199">
        <v>0.30940849681911914</v>
      </c>
      <c r="O36" s="199">
        <v>0.30677780423513962</v>
      </c>
    </row>
    <row r="37" spans="1:19">
      <c r="A37" s="184" t="s">
        <v>550</v>
      </c>
      <c r="B37" s="196" t="e">
        <f>B18-B21-B25</f>
        <v>#REF!</v>
      </c>
      <c r="C37" s="197" t="e">
        <f>B37/B3</f>
        <v>#REF!</v>
      </c>
      <c r="D37" s="196" t="e">
        <f>D3*E37</f>
        <v>#REF!</v>
      </c>
      <c r="E37" s="197" t="e">
        <f>E18-E36</f>
        <v>#REF!</v>
      </c>
      <c r="F37" s="231" t="e">
        <f>F3*G37</f>
        <v>#REF!</v>
      </c>
      <c r="G37" s="197" t="e">
        <f>G18-G36</f>
        <v>#REF!</v>
      </c>
      <c r="I37" s="184" t="s">
        <v>550</v>
      </c>
      <c r="J37" s="196">
        <v>7138516.0346106216</v>
      </c>
      <c r="K37" s="197">
        <v>4.0234843705436431E-2</v>
      </c>
      <c r="L37" s="196">
        <v>6442472.4466003682</v>
      </c>
      <c r="M37" s="197">
        <v>3.4864237453932023E-2</v>
      </c>
      <c r="N37" s="231">
        <v>13580988.481210956</v>
      </c>
      <c r="O37" s="197">
        <v>3.7494930037911545E-2</v>
      </c>
      <c r="P37" s="367" t="e">
        <f>F37-N39</f>
        <v>#REF!</v>
      </c>
      <c r="Q37" s="316" t="e">
        <f>F37/N39-1</f>
        <v>#REF!</v>
      </c>
      <c r="R37" s="308" t="e">
        <f>G37-O39</f>
        <v>#REF!</v>
      </c>
      <c r="S37" s="172"/>
    </row>
    <row r="38" spans="1:19">
      <c r="B38" s="170" t="e">
        <f>B18-B21-B25</f>
        <v>#REF!</v>
      </c>
      <c r="D38" s="170" t="e">
        <f>D18-D21-D25</f>
        <v>#REF!</v>
      </c>
      <c r="H38" s="198"/>
      <c r="J38" s="170">
        <v>7138516.0346106216</v>
      </c>
      <c r="L38" s="170">
        <v>6442472.4466004148</v>
      </c>
      <c r="P38" s="172"/>
      <c r="Q38" s="172"/>
      <c r="R38" s="172"/>
      <c r="S38" s="172"/>
    </row>
    <row r="39" spans="1:19">
      <c r="B39" s="170"/>
      <c r="D39" s="170"/>
      <c r="E39" s="182" t="s">
        <v>568</v>
      </c>
      <c r="F39" s="181" t="e">
        <f>#REF!-#REF!</f>
        <v>#REF!</v>
      </c>
      <c r="H39" s="173"/>
      <c r="J39" s="170"/>
      <c r="L39" s="170"/>
      <c r="M39" s="182"/>
      <c r="N39" s="181">
        <v>13580988.481210956</v>
      </c>
      <c r="P39" s="172"/>
      <c r="Q39" s="172"/>
      <c r="R39" s="172"/>
      <c r="S39" s="172"/>
    </row>
    <row r="40" spans="1:19">
      <c r="B40" s="170"/>
      <c r="D40" s="170"/>
      <c r="E40" s="182"/>
      <c r="F40" s="181" t="e">
        <f>SUM(B38:D38)</f>
        <v>#REF!</v>
      </c>
      <c r="H40" s="173"/>
      <c r="J40" s="170"/>
      <c r="L40" s="170"/>
      <c r="M40" s="182" t="s">
        <v>599</v>
      </c>
      <c r="N40" s="181">
        <v>1127955.9099570718</v>
      </c>
      <c r="P40" s="172"/>
      <c r="Q40" s="172"/>
      <c r="R40" s="172"/>
      <c r="S40" s="172"/>
    </row>
    <row r="41" spans="1:19">
      <c r="B41" s="170"/>
      <c r="D41" s="170"/>
      <c r="E41" s="182"/>
      <c r="F41" s="181" t="e">
        <f>SUM(F39:F40)</f>
        <v>#REF!</v>
      </c>
      <c r="G41" s="192"/>
      <c r="H41" s="192"/>
      <c r="J41" s="170"/>
      <c r="L41" s="170"/>
      <c r="M41" s="182"/>
      <c r="N41" s="181">
        <v>13580988.481211036</v>
      </c>
      <c r="O41" s="192"/>
      <c r="P41" s="172"/>
      <c r="Q41" s="172"/>
      <c r="R41" s="172"/>
      <c r="S41" s="172"/>
    </row>
    <row r="42" spans="1:19">
      <c r="A42" s="170"/>
      <c r="B42" s="170"/>
      <c r="C42" s="170"/>
      <c r="D42" s="170"/>
      <c r="E42" s="170"/>
      <c r="F42" s="170"/>
      <c r="G42" s="170"/>
      <c r="J42" s="170"/>
      <c r="K42" s="170"/>
      <c r="L42" s="170"/>
      <c r="M42" s="170"/>
      <c r="N42" s="170">
        <v>14708944.391168108</v>
      </c>
      <c r="O42" s="170"/>
    </row>
    <row r="43" spans="1:19">
      <c r="A43" s="172"/>
      <c r="B43" s="173"/>
      <c r="C43" s="174"/>
      <c r="D43" s="173"/>
      <c r="E43" s="174"/>
      <c r="F43" s="173" t="e">
        <f>'Fact 2011- 2013 Plan 2014'!E60-Модель!F41</f>
        <v>#REF!</v>
      </c>
      <c r="G43" s="174"/>
      <c r="J43" s="173"/>
      <c r="K43" s="174"/>
      <c r="L43" s="173"/>
      <c r="M43" s="174"/>
      <c r="N43" s="173">
        <v>-7.6368451118469238E-8</v>
      </c>
      <c r="O43" s="174"/>
    </row>
    <row r="44" spans="1:19">
      <c r="A44" s="168" t="s">
        <v>569</v>
      </c>
      <c r="B44" s="173" t="e">
        <f>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J44" s="173"/>
    </row>
    <row r="45" spans="1:19">
      <c r="A45" s="172" t="s">
        <v>570</v>
      </c>
      <c r="B45" s="173" t="e">
        <f>'P&amp;L Monthly'!Z50-'P&amp;L Monthly'!Z55-'P&amp;L Monthly'!Z61-Модель!B44-Модель!B46</f>
        <v>#REF!</v>
      </c>
      <c r="C45" s="174"/>
      <c r="D45" s="173"/>
      <c r="E45" s="174"/>
      <c r="F45" s="173"/>
      <c r="G45" s="189"/>
      <c r="J45" s="173"/>
      <c r="K45" s="174"/>
      <c r="L45" s="173"/>
      <c r="M45" s="174"/>
      <c r="N45" s="173"/>
      <c r="O45" s="189"/>
    </row>
    <row r="46" spans="1:19">
      <c r="A46" s="168" t="s">
        <v>571</v>
      </c>
      <c r="B46" s="170" t="e">
        <f>#REF!+#REF!+#REF!+#REF!+#REF!+#REF!+#REF!+#REF!+#REF!+#REF!</f>
        <v>#REF!</v>
      </c>
      <c r="C46" s="195"/>
      <c r="D46" s="170"/>
      <c r="E46" s="195"/>
      <c r="G46" s="195"/>
      <c r="J46" s="170"/>
      <c r="K46" s="195"/>
      <c r="L46" s="170"/>
      <c r="M46" s="195"/>
      <c r="O46" s="195"/>
    </row>
    <row r="47" spans="1:19">
      <c r="B47" s="192" t="e">
        <f>SUM(B44:B46)</f>
        <v>#REF!</v>
      </c>
      <c r="J47" s="192"/>
    </row>
  </sheetData>
  <mergeCells count="7">
    <mergeCell ref="P1:R1"/>
    <mergeCell ref="B1:C1"/>
    <mergeCell ref="D1:E1"/>
    <mergeCell ref="F1:G1"/>
    <mergeCell ref="N1:O1"/>
    <mergeCell ref="J1:K1"/>
    <mergeCell ref="L1:M1"/>
  </mergeCells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="80" zoomScaleNormal="80" workbookViewId="0">
      <pane ySplit="4" topLeftCell="A5" activePane="bottomLeft" state="frozen"/>
      <selection activeCell="F8" sqref="F8"/>
      <selection pane="bottomLeft" activeCell="F8" sqref="F8"/>
    </sheetView>
  </sheetViews>
  <sheetFormatPr defaultColWidth="12.5703125" defaultRowHeight="15.75" outlineLevelCol="1"/>
  <cols>
    <col min="1" max="1" width="37.7109375" style="168" bestFit="1" customWidth="1"/>
    <col min="2" max="2" width="19.28515625" style="168" customWidth="1" outlineLevel="1"/>
    <col min="3" max="3" width="16.7109375" style="168" customWidth="1" outlineLevel="1"/>
    <col min="4" max="4" width="19.28515625" style="168" customWidth="1" outlineLevel="1"/>
    <col min="5" max="5" width="16.7109375" style="168" customWidth="1" outlineLevel="1"/>
    <col min="6" max="6" width="19.42578125" style="168" bestFit="1" customWidth="1"/>
    <col min="7" max="7" width="12.5703125" style="168"/>
    <col min="8" max="8" width="17" style="168" hidden="1" customWidth="1"/>
    <col min="9" max="9" width="18.85546875" style="168" hidden="1" customWidth="1"/>
    <col min="10" max="10" width="6.140625" style="168" hidden="1" customWidth="1"/>
    <col min="11" max="11" width="24.42578125" style="168" hidden="1" customWidth="1"/>
    <col min="12" max="12" width="18.85546875" style="168" hidden="1" customWidth="1"/>
    <col min="13" max="13" width="17.42578125" style="168" hidden="1" customWidth="1"/>
    <col min="14" max="14" width="5.42578125" style="168" customWidth="1"/>
    <col min="15" max="15" width="37.7109375" style="168" hidden="1" customWidth="1"/>
    <col min="16" max="16" width="19.28515625" style="168" customWidth="1" outlineLevel="1"/>
    <col min="17" max="17" width="16.7109375" style="168" customWidth="1" outlineLevel="1"/>
    <col min="18" max="18" width="19.28515625" style="168" customWidth="1" outlineLevel="1"/>
    <col min="19" max="19" width="16.7109375" style="168" customWidth="1" outlineLevel="1"/>
    <col min="20" max="20" width="19.42578125" style="168" bestFit="1" customWidth="1"/>
    <col min="21" max="22" width="12.5703125" style="168"/>
    <col min="23" max="23" width="17" style="168" bestFit="1" customWidth="1" collapsed="1"/>
    <col min="24" max="28" width="12.5703125" style="168"/>
    <col min="29" max="29" width="4" style="168" customWidth="1"/>
    <col min="30" max="16384" width="12.5703125" style="168"/>
  </cols>
  <sheetData>
    <row r="1" spans="1:25" ht="16.5" thickBot="1">
      <c r="A1" s="168" t="s">
        <v>551</v>
      </c>
      <c r="B1" s="910" t="e">
        <f>B5/F5</f>
        <v>#REF!</v>
      </c>
      <c r="C1" s="910"/>
      <c r="D1" s="910" t="e">
        <f>D5/F5</f>
        <v>#REF!</v>
      </c>
      <c r="E1" s="910"/>
      <c r="F1" s="911" t="e">
        <f>B1+D1</f>
        <v>#REF!</v>
      </c>
      <c r="G1" s="912"/>
      <c r="O1" s="168" t="s">
        <v>551</v>
      </c>
      <c r="P1" s="910">
        <v>0.48983158712160441</v>
      </c>
      <c r="Q1" s="910"/>
      <c r="R1" s="910">
        <v>0.51016841287839565</v>
      </c>
      <c r="S1" s="910"/>
      <c r="T1" s="911">
        <v>1</v>
      </c>
      <c r="U1" s="912"/>
    </row>
    <row r="2" spans="1:25" s="182" customFormat="1">
      <c r="B2" s="907" t="s">
        <v>520</v>
      </c>
      <c r="C2" s="907"/>
      <c r="D2" s="907" t="s">
        <v>521</v>
      </c>
      <c r="E2" s="907"/>
      <c r="F2" s="913" t="s">
        <v>511</v>
      </c>
      <c r="G2" s="914"/>
      <c r="P2" s="907" t="s">
        <v>520</v>
      </c>
      <c r="Q2" s="907"/>
      <c r="R2" s="907" t="s">
        <v>521</v>
      </c>
      <c r="S2" s="907"/>
      <c r="T2" s="913" t="s">
        <v>513</v>
      </c>
      <c r="U2" s="914"/>
      <c r="W2" s="915" t="s">
        <v>565</v>
      </c>
      <c r="X2" s="916"/>
      <c r="Y2" s="917"/>
    </row>
    <row r="3" spans="1:25" s="182" customFormat="1">
      <c r="B3" s="207" t="s">
        <v>522</v>
      </c>
      <c r="C3" s="207" t="s">
        <v>523</v>
      </c>
      <c r="D3" s="207" t="s">
        <v>522</v>
      </c>
      <c r="E3" s="207" t="s">
        <v>523</v>
      </c>
      <c r="F3" s="327" t="s">
        <v>522</v>
      </c>
      <c r="G3" s="328" t="s">
        <v>523</v>
      </c>
      <c r="P3" s="351" t="s">
        <v>522</v>
      </c>
      <c r="Q3" s="351" t="s">
        <v>523</v>
      </c>
      <c r="R3" s="351" t="s">
        <v>522</v>
      </c>
      <c r="S3" s="351" t="s">
        <v>523</v>
      </c>
      <c r="T3" s="352" t="s">
        <v>522</v>
      </c>
      <c r="U3" s="353" t="s">
        <v>523</v>
      </c>
      <c r="W3" s="301" t="s">
        <v>456</v>
      </c>
      <c r="X3" s="302" t="s">
        <v>523</v>
      </c>
      <c r="Y3" s="303" t="s">
        <v>567</v>
      </c>
    </row>
    <row r="4" spans="1:25" s="182" customFormat="1" ht="15.75" hidden="1" customHeight="1">
      <c r="A4" s="186" t="s">
        <v>552</v>
      </c>
      <c r="B4" s="208"/>
      <c r="C4" s="207"/>
      <c r="D4" s="208"/>
      <c r="E4" s="207"/>
      <c r="F4" s="274">
        <v>12230575.77541063</v>
      </c>
      <c r="G4" s="328"/>
      <c r="O4" s="186" t="s">
        <v>552</v>
      </c>
      <c r="P4" s="208"/>
      <c r="Q4" s="351"/>
      <c r="R4" s="208"/>
      <c r="S4" s="351"/>
      <c r="T4" s="274">
        <v>11216673.033865172</v>
      </c>
      <c r="U4" s="353"/>
      <c r="W4" s="304"/>
      <c r="X4" s="302"/>
      <c r="Y4" s="305"/>
    </row>
    <row r="5" spans="1:25" s="209" customFormat="1" ht="18.75">
      <c r="A5" s="209" t="s">
        <v>524</v>
      </c>
      <c r="B5" s="210" t="e">
        <f>Модель!B3</f>
        <v>#REF!</v>
      </c>
      <c r="C5" s="211">
        <v>1</v>
      </c>
      <c r="D5" s="210" t="e">
        <f>F5-B5</f>
        <v>#REF!</v>
      </c>
      <c r="E5" s="211">
        <v>1</v>
      </c>
      <c r="F5" s="275" t="e">
        <f>Модель!F3</f>
        <v>#REF!</v>
      </c>
      <c r="G5" s="276">
        <v>1</v>
      </c>
      <c r="O5" s="209" t="s">
        <v>524</v>
      </c>
      <c r="P5" s="210">
        <v>177421244.30437601</v>
      </c>
      <c r="Q5" s="211">
        <v>1</v>
      </c>
      <c r="R5" s="210">
        <v>184787418.77298051</v>
      </c>
      <c r="S5" s="211">
        <v>1</v>
      </c>
      <c r="T5" s="275">
        <v>362208663.07735652</v>
      </c>
      <c r="U5" s="276">
        <v>1</v>
      </c>
      <c r="W5" s="306" t="e">
        <f>F5-T5</f>
        <v>#REF!</v>
      </c>
      <c r="X5" s="307" t="e">
        <f>F5/T5-1</f>
        <v>#REF!</v>
      </c>
      <c r="Y5" s="308">
        <f>G5-U5</f>
        <v>0</v>
      </c>
    </row>
    <row r="6" spans="1:25" s="212" customFormat="1">
      <c r="A6" s="212" t="s">
        <v>525</v>
      </c>
      <c r="B6" s="213" t="e">
        <f>B5</f>
        <v>#REF!</v>
      </c>
      <c r="D6" s="213" t="e">
        <f>D5-'Fact 2011- 2013 Plan 2014'!E12</f>
        <v>#REF!</v>
      </c>
      <c r="F6" s="274" t="e">
        <f>B6+D6</f>
        <v>#REF!</v>
      </c>
      <c r="G6" s="277"/>
      <c r="O6" s="212" t="s">
        <v>525</v>
      </c>
      <c r="P6" s="213">
        <v>177421244.30437601</v>
      </c>
      <c r="R6" s="213">
        <v>140581844.16941288</v>
      </c>
      <c r="T6" s="274">
        <v>318003088.47378886</v>
      </c>
      <c r="U6" s="277"/>
      <c r="W6" s="309" t="e">
        <f>F6-T6</f>
        <v>#REF!</v>
      </c>
      <c r="X6" s="310" t="e">
        <f>F6/T6-1</f>
        <v>#REF!</v>
      </c>
      <c r="Y6" s="308">
        <f>G6-U6</f>
        <v>0</v>
      </c>
    </row>
    <row r="7" spans="1:25" s="182" customFormat="1">
      <c r="A7" s="182" t="s">
        <v>526</v>
      </c>
      <c r="B7" s="179" t="e">
        <f>$B$5*C7</f>
        <v>#REF!</v>
      </c>
      <c r="C7" s="215" t="e">
        <f>G7</f>
        <v>#REF!</v>
      </c>
      <c r="D7" s="179" t="e">
        <f>$D$5*E7</f>
        <v>#REF!</v>
      </c>
      <c r="E7" s="215" t="e">
        <f>G7</f>
        <v>#REF!</v>
      </c>
      <c r="F7" s="278" t="e">
        <f>'Fact 2011- 2013 Plan 2014'!E13</f>
        <v>#REF!</v>
      </c>
      <c r="G7" s="279" t="e">
        <f>F7/F5</f>
        <v>#REF!</v>
      </c>
      <c r="O7" s="182" t="s">
        <v>526</v>
      </c>
      <c r="P7" s="179">
        <v>68931391.050634161</v>
      </c>
      <c r="Q7" s="215">
        <v>0.38851824831291637</v>
      </c>
      <c r="R7" s="179">
        <v>71793284.251943707</v>
      </c>
      <c r="S7" s="215">
        <v>0.38851824831291637</v>
      </c>
      <c r="T7" s="278">
        <v>140724675.30257785</v>
      </c>
      <c r="U7" s="279">
        <v>0.38851824831291637</v>
      </c>
      <c r="W7" s="311" t="e">
        <f>F7-T7</f>
        <v>#REF!</v>
      </c>
      <c r="X7" s="312" t="e">
        <f>F7/T7-1</f>
        <v>#REF!</v>
      </c>
      <c r="Y7" s="308" t="e">
        <f>G7-U7</f>
        <v>#REF!</v>
      </c>
    </row>
    <row r="8" spans="1:25" ht="7.5" customHeight="1">
      <c r="B8" s="170"/>
      <c r="C8" s="171"/>
      <c r="D8" s="170"/>
      <c r="E8" s="171"/>
      <c r="F8" s="280"/>
      <c r="G8" s="281"/>
      <c r="P8" s="170"/>
      <c r="Q8" s="171"/>
      <c r="R8" s="170"/>
      <c r="S8" s="171"/>
      <c r="T8" s="280"/>
      <c r="U8" s="281"/>
      <c r="W8" s="313"/>
      <c r="X8" s="260"/>
      <c r="Y8" s="296"/>
    </row>
    <row r="9" spans="1:25" s="182" customFormat="1">
      <c r="A9" s="182" t="s">
        <v>553</v>
      </c>
      <c r="B9" s="179" t="e">
        <f t="shared" ref="B9:G9" si="0">SUM(B10:B19)</f>
        <v>#REF!</v>
      </c>
      <c r="C9" s="215" t="e">
        <f t="shared" si="0"/>
        <v>#REF!</v>
      </c>
      <c r="D9" s="179" t="e">
        <f t="shared" si="0"/>
        <v>#REF!</v>
      </c>
      <c r="E9" s="215" t="e">
        <f t="shared" si="0"/>
        <v>#REF!</v>
      </c>
      <c r="F9" s="278" t="e">
        <f>SUM(F10:F19)</f>
        <v>#REF!</v>
      </c>
      <c r="G9" s="279" t="e">
        <f t="shared" si="0"/>
        <v>#REF!</v>
      </c>
      <c r="O9" s="182" t="s">
        <v>553</v>
      </c>
      <c r="P9" s="179">
        <v>58741182.687278591</v>
      </c>
      <c r="Q9" s="215">
        <v>0.33108314011429674</v>
      </c>
      <c r="R9" s="179">
        <v>70592765.819919169</v>
      </c>
      <c r="S9" s="215">
        <v>0.38202149415077608</v>
      </c>
      <c r="T9" s="278">
        <v>129333948.50719775</v>
      </c>
      <c r="U9" s="279">
        <v>0.35707027934772523</v>
      </c>
      <c r="W9" s="343" t="e">
        <f t="shared" ref="W9:W15" si="1">F9-T9</f>
        <v>#REF!</v>
      </c>
      <c r="X9" s="312" t="e">
        <f t="shared" ref="X9:X15" si="2">F9/T9-1</f>
        <v>#REF!</v>
      </c>
      <c r="Y9" s="308" t="e">
        <f t="shared" ref="Y9:Y16" si="3">G9-U9</f>
        <v>#REF!</v>
      </c>
    </row>
    <row r="10" spans="1:25">
      <c r="A10" s="168" t="str">
        <f>A52</f>
        <v>скидка</v>
      </c>
      <c r="B10" s="170"/>
      <c r="C10" s="171"/>
      <c r="D10" s="170" t="e">
        <f>F10</f>
        <v>#REF!</v>
      </c>
      <c r="E10" s="171" t="e">
        <f>D10/$D$5</f>
        <v>#REF!</v>
      </c>
      <c r="F10" s="282" t="e">
        <f>'Fact 2011- 2013 Plan 2014'!E12</f>
        <v>#REF!</v>
      </c>
      <c r="G10" s="281" t="e">
        <f t="shared" ref="G10:G19" si="4">F10/$F$5</f>
        <v>#REF!</v>
      </c>
      <c r="K10" s="192"/>
      <c r="O10" s="168" t="s">
        <v>546</v>
      </c>
      <c r="P10" s="170"/>
      <c r="Q10" s="171"/>
      <c r="R10" s="170">
        <v>44205574.603567638</v>
      </c>
      <c r="S10" s="171">
        <v>0.23922394120281606</v>
      </c>
      <c r="T10" s="282">
        <v>44205574.603567638</v>
      </c>
      <c r="U10" s="281">
        <v>0.1220444984059553</v>
      </c>
      <c r="W10" s="315" t="e">
        <f t="shared" si="1"/>
        <v>#REF!</v>
      </c>
      <c r="X10" s="316" t="e">
        <f t="shared" si="2"/>
        <v>#REF!</v>
      </c>
      <c r="Y10" s="308" t="e">
        <f t="shared" si="3"/>
        <v>#REF!</v>
      </c>
    </row>
    <row r="11" spans="1:25">
      <c r="A11" s="168" t="s">
        <v>527</v>
      </c>
      <c r="B11" s="170" t="e">
        <f>B5*C11</f>
        <v>#REF!</v>
      </c>
      <c r="C11" s="171" t="e">
        <f>G11</f>
        <v>#REF!</v>
      </c>
      <c r="D11" s="170" t="e">
        <f>D5*E11</f>
        <v>#REF!</v>
      </c>
      <c r="E11" s="171" t="e">
        <f>G11</f>
        <v>#REF!</v>
      </c>
      <c r="F11" s="282">
        <f>'P&amp;L Monthly'!Z17</f>
        <v>0</v>
      </c>
      <c r="G11" s="281" t="e">
        <f>F11/F5</f>
        <v>#REF!</v>
      </c>
      <c r="K11" s="192"/>
      <c r="O11" s="168" t="s">
        <v>527</v>
      </c>
      <c r="P11" s="170">
        <v>14075138.174651634</v>
      </c>
      <c r="Q11" s="171">
        <v>7.9331752123804028E-2</v>
      </c>
      <c r="R11" s="170">
        <v>14659509.70169566</v>
      </c>
      <c r="S11" s="171">
        <v>7.9331752123804028E-2</v>
      </c>
      <c r="T11" s="282">
        <v>28734647.876347296</v>
      </c>
      <c r="U11" s="281">
        <v>7.9331752123804028E-2</v>
      </c>
      <c r="W11" s="315">
        <f t="shared" si="1"/>
        <v>-28734647.876347296</v>
      </c>
      <c r="X11" s="316">
        <f t="shared" si="2"/>
        <v>-1</v>
      </c>
      <c r="Y11" s="308" t="e">
        <f t="shared" si="3"/>
        <v>#REF!</v>
      </c>
    </row>
    <row r="12" spans="1:25">
      <c r="A12" s="168" t="str">
        <f>A47</f>
        <v>ретро бонус</v>
      </c>
      <c r="B12" s="170">
        <f>Модель!B26</f>
        <v>20748091</v>
      </c>
      <c r="C12" s="171" t="e">
        <f>B12/$B$5</f>
        <v>#REF!</v>
      </c>
      <c r="D12" s="170">
        <f>Модель!D26</f>
        <v>386100</v>
      </c>
      <c r="E12" s="171" t="e">
        <f>D12/$D$5</f>
        <v>#REF!</v>
      </c>
      <c r="F12" s="282" t="e">
        <f>#REF!</f>
        <v>#REF!</v>
      </c>
      <c r="G12" s="281" t="e">
        <f t="shared" si="4"/>
        <v>#REF!</v>
      </c>
      <c r="O12" s="168" t="s">
        <v>541</v>
      </c>
      <c r="P12" s="170">
        <v>18636248.879999999</v>
      </c>
      <c r="Q12" s="171">
        <v>0.10503955686404993</v>
      </c>
      <c r="R12" s="170"/>
      <c r="S12" s="171">
        <v>0</v>
      </c>
      <c r="T12" s="282">
        <v>18636248.879999999</v>
      </c>
      <c r="U12" s="281">
        <v>5.1451692849267594E-2</v>
      </c>
      <c r="W12" s="315" t="e">
        <f t="shared" si="1"/>
        <v>#REF!</v>
      </c>
      <c r="X12" s="316" t="e">
        <f t="shared" si="2"/>
        <v>#REF!</v>
      </c>
      <c r="Y12" s="308" t="e">
        <f t="shared" si="3"/>
        <v>#REF!</v>
      </c>
    </row>
    <row r="13" spans="1:25">
      <c r="A13" s="168" t="str">
        <f>A49</f>
        <v>транши</v>
      </c>
      <c r="B13" s="170" t="e">
        <f>F13</f>
        <v>#REF!</v>
      </c>
      <c r="C13" s="171" t="e">
        <f>B13/$B$5</f>
        <v>#REF!</v>
      </c>
      <c r="D13" s="170"/>
      <c r="E13" s="171" t="e">
        <f>D13/$D$5</f>
        <v>#REF!</v>
      </c>
      <c r="F13" s="282" t="e">
        <f>#REF!</f>
        <v>#REF!</v>
      </c>
      <c r="G13" s="281" t="e">
        <f t="shared" si="4"/>
        <v>#REF!</v>
      </c>
      <c r="O13" s="168" t="s">
        <v>557</v>
      </c>
      <c r="P13" s="170">
        <v>10012367.630000001</v>
      </c>
      <c r="Q13" s="171">
        <v>5.6432743830965519E-2</v>
      </c>
      <c r="R13" s="170"/>
      <c r="S13" s="171">
        <v>0</v>
      </c>
      <c r="T13" s="282">
        <v>10012367.630000001</v>
      </c>
      <c r="U13" s="281">
        <v>2.7642540476348766E-2</v>
      </c>
      <c r="W13" s="315" t="e">
        <f t="shared" si="1"/>
        <v>#REF!</v>
      </c>
      <c r="X13" s="316" t="e">
        <f t="shared" si="2"/>
        <v>#REF!</v>
      </c>
      <c r="Y13" s="308" t="e">
        <f t="shared" si="3"/>
        <v>#REF!</v>
      </c>
    </row>
    <row r="14" spans="1:25">
      <c r="A14" s="168" t="str">
        <f>A50</f>
        <v>трейд-марке</v>
      </c>
      <c r="B14" s="170"/>
      <c r="C14" s="171"/>
      <c r="D14" s="170" t="e">
        <f>Модель!D29</f>
        <v>#REF!</v>
      </c>
      <c r="E14" s="174" t="e">
        <f>D14/$D$5</f>
        <v>#REF!</v>
      </c>
      <c r="F14" s="282" t="e">
        <f>D14</f>
        <v>#REF!</v>
      </c>
      <c r="G14" s="281" t="e">
        <f t="shared" si="4"/>
        <v>#REF!</v>
      </c>
      <c r="O14" s="168" t="s">
        <v>544</v>
      </c>
      <c r="P14" s="170"/>
      <c r="Q14" s="171">
        <v>0</v>
      </c>
      <c r="R14" s="170">
        <v>2878351.6872828314</v>
      </c>
      <c r="S14" s="174">
        <v>1.5576556598904676E-2</v>
      </c>
      <c r="T14" s="282">
        <v>2878351.6872828314</v>
      </c>
      <c r="U14" s="281">
        <v>7.9466671581736991E-3</v>
      </c>
      <c r="W14" s="315" t="e">
        <f t="shared" si="1"/>
        <v>#REF!</v>
      </c>
      <c r="X14" s="316" t="e">
        <f t="shared" si="2"/>
        <v>#REF!</v>
      </c>
      <c r="Y14" s="308" t="e">
        <f t="shared" si="3"/>
        <v>#REF!</v>
      </c>
    </row>
    <row r="15" spans="1:25">
      <c r="A15" s="168" t="s">
        <v>538</v>
      </c>
      <c r="B15" s="173">
        <f>Модель!B22</f>
        <v>10973082.600000001</v>
      </c>
      <c r="C15" s="171" t="e">
        <f>B15/$B$5</f>
        <v>#REF!</v>
      </c>
      <c r="D15" s="170"/>
      <c r="E15" s="216"/>
      <c r="F15" s="282">
        <f>B15</f>
        <v>10973082.600000001</v>
      </c>
      <c r="G15" s="281" t="e">
        <f t="shared" si="4"/>
        <v>#REF!</v>
      </c>
      <c r="O15" s="168" t="s">
        <v>538</v>
      </c>
      <c r="P15" s="173">
        <v>6897525.9669837784</v>
      </c>
      <c r="Q15" s="171">
        <v>3.8876550516975798E-2</v>
      </c>
      <c r="R15" s="170"/>
      <c r="S15" s="216"/>
      <c r="T15" s="282">
        <v>6897525.9669837784</v>
      </c>
      <c r="U15" s="281">
        <v>1.9042962441543486E-2</v>
      </c>
      <c r="W15" s="315">
        <f t="shared" si="1"/>
        <v>4075556.6330162231</v>
      </c>
      <c r="X15" s="316">
        <f t="shared" si="2"/>
        <v>0.59087224209442524</v>
      </c>
      <c r="Y15" s="308" t="e">
        <f t="shared" si="3"/>
        <v>#REF!</v>
      </c>
    </row>
    <row r="16" spans="1:25" s="172" customFormat="1">
      <c r="A16" s="172" t="s">
        <v>534</v>
      </c>
      <c r="B16" s="173">
        <f>Модель!B14</f>
        <v>6049244.5948920697</v>
      </c>
      <c r="C16" s="174" t="e">
        <f>B16/$B$5</f>
        <v>#REF!</v>
      </c>
      <c r="D16" s="173">
        <f>Модель!D14</f>
        <v>7131351.4051079284</v>
      </c>
      <c r="E16" s="174" t="e">
        <f>D16/$D$5</f>
        <v>#REF!</v>
      </c>
      <c r="F16" s="282">
        <f>B16+D16</f>
        <v>13180595.999999998</v>
      </c>
      <c r="G16" s="283" t="e">
        <f t="shared" si="4"/>
        <v>#REF!</v>
      </c>
      <c r="H16" s="175">
        <f>'[8]P&amp;L month Dream'!AJ65-'[8]модель УДИ'!B15</f>
        <v>17169609.473016225</v>
      </c>
      <c r="I16" s="217">
        <f>B15/'[8]P&amp;L month Dream'!AJ65</f>
        <v>0.45593637960596439</v>
      </c>
      <c r="J16" s="217"/>
      <c r="K16" s="217"/>
      <c r="O16" s="172" t="s">
        <v>534</v>
      </c>
      <c r="P16" s="173">
        <v>8410217.0584256705</v>
      </c>
      <c r="Q16" s="174">
        <v>4.7402536778501425E-2</v>
      </c>
      <c r="R16" s="173">
        <v>8759392.4145905543</v>
      </c>
      <c r="S16" s="174">
        <v>4.7402536778501432E-2</v>
      </c>
      <c r="T16" s="282">
        <v>17169609.473016225</v>
      </c>
      <c r="U16" s="283">
        <v>4.7402536778501432E-2</v>
      </c>
      <c r="W16" s="315">
        <f>F16-T16</f>
        <v>-3989013.4730162267</v>
      </c>
      <c r="X16" s="316">
        <f>F16/T16-1</f>
        <v>-0.23232988958108591</v>
      </c>
      <c r="Y16" s="308" t="e">
        <f t="shared" si="3"/>
        <v>#REF!</v>
      </c>
    </row>
    <row r="17" spans="1:25" s="172" customFormat="1">
      <c r="A17" s="172" t="str">
        <f>Модель!A15</f>
        <v>найм доставка ТО</v>
      </c>
      <c r="B17" s="173"/>
      <c r="C17" s="174"/>
      <c r="D17" s="173">
        <f>F17</f>
        <v>840000</v>
      </c>
      <c r="E17" s="174" t="e">
        <f>D17/$D$5</f>
        <v>#REF!</v>
      </c>
      <c r="F17" s="282">
        <f>Модель!F15</f>
        <v>840000</v>
      </c>
      <c r="G17" s="283" t="e">
        <f t="shared" si="4"/>
        <v>#REF!</v>
      </c>
      <c r="H17" s="175"/>
      <c r="I17" s="217"/>
      <c r="J17" s="217"/>
      <c r="K17" s="217"/>
      <c r="P17" s="173"/>
      <c r="Q17" s="174"/>
      <c r="R17" s="173"/>
      <c r="S17" s="174"/>
      <c r="T17" s="282"/>
      <c r="U17" s="283"/>
      <c r="W17" s="315">
        <f>F17-T17</f>
        <v>840000</v>
      </c>
      <c r="X17" s="316" t="e">
        <f>F17/T17-1</f>
        <v>#DIV/0!</v>
      </c>
      <c r="Y17" s="308" t="e">
        <f>G17-U17</f>
        <v>#REF!</v>
      </c>
    </row>
    <row r="18" spans="1:25" s="172" customFormat="1">
      <c r="A18" s="172" t="s">
        <v>579</v>
      </c>
      <c r="B18" s="173" t="e">
        <f>B5*C18</f>
        <v>#REF!</v>
      </c>
      <c r="C18" s="174" t="e">
        <f>G18</f>
        <v>#REF!</v>
      </c>
      <c r="D18" s="173" t="e">
        <f>D5*E18</f>
        <v>#REF!</v>
      </c>
      <c r="E18" s="174" t="e">
        <f>G18</f>
        <v>#REF!</v>
      </c>
      <c r="F18" s="282">
        <f>Модель!F16</f>
        <v>2000641</v>
      </c>
      <c r="G18" s="283" t="e">
        <f t="shared" si="4"/>
        <v>#REF!</v>
      </c>
      <c r="H18" s="175"/>
      <c r="I18" s="217"/>
      <c r="J18" s="217"/>
      <c r="K18" s="217"/>
      <c r="P18" s="173"/>
      <c r="Q18" s="174"/>
      <c r="R18" s="173"/>
      <c r="S18" s="174"/>
      <c r="T18" s="282"/>
      <c r="U18" s="283"/>
      <c r="W18" s="315">
        <f>F18-T18</f>
        <v>2000641</v>
      </c>
      <c r="X18" s="316" t="e">
        <f>F18/T18-1</f>
        <v>#DIV/0!</v>
      </c>
      <c r="Y18" s="308" t="e">
        <f>G18-U18</f>
        <v>#REF!</v>
      </c>
    </row>
    <row r="19" spans="1:25" ht="16.5" thickBot="1">
      <c r="A19" s="176" t="s">
        <v>549</v>
      </c>
      <c r="B19" s="333" t="e">
        <f>B5*C19</f>
        <v>#REF!</v>
      </c>
      <c r="C19" s="177">
        <v>6.0000000000000001E-3</v>
      </c>
      <c r="D19" s="333" t="e">
        <f>F19-B19</f>
        <v>#REF!</v>
      </c>
      <c r="E19" s="177" t="e">
        <f>D19/$D$5</f>
        <v>#REF!</v>
      </c>
      <c r="F19" s="330" t="e">
        <f>Модель!F35</f>
        <v>#REF!</v>
      </c>
      <c r="G19" s="284" t="e">
        <f t="shared" si="4"/>
        <v>#REF!</v>
      </c>
      <c r="O19" s="176" t="s">
        <v>549</v>
      </c>
      <c r="P19" s="333">
        <v>709684.97721750406</v>
      </c>
      <c r="Q19" s="177">
        <v>4.0000000000000001E-3</v>
      </c>
      <c r="R19" s="333">
        <v>89937.412782495958</v>
      </c>
      <c r="S19" s="177">
        <v>4.8670744674986791E-4</v>
      </c>
      <c r="T19" s="330">
        <v>799622.39</v>
      </c>
      <c r="U19" s="284">
        <v>2.207629114130894E-3</v>
      </c>
      <c r="W19" s="326" t="e">
        <f>F19-T19</f>
        <v>#REF!</v>
      </c>
      <c r="X19" s="259" t="e">
        <f>F19/T19-1</f>
        <v>#REF!</v>
      </c>
      <c r="Y19" s="341" t="e">
        <f>G19-U19</f>
        <v>#REF!</v>
      </c>
    </row>
    <row r="20" spans="1:25">
      <c r="A20" s="218"/>
      <c r="B20" s="170"/>
      <c r="C20" s="219"/>
      <c r="D20" s="170"/>
      <c r="E20" s="173"/>
      <c r="F20" s="280"/>
      <c r="G20" s="281"/>
      <c r="O20" s="218"/>
      <c r="P20" s="170"/>
      <c r="Q20" s="219"/>
      <c r="R20" s="170"/>
      <c r="S20" s="219"/>
      <c r="T20" s="280"/>
      <c r="U20" s="281"/>
      <c r="W20" s="313"/>
      <c r="X20" s="260"/>
      <c r="Y20" s="296"/>
    </row>
    <row r="21" spans="1:25" s="221" customFormat="1">
      <c r="A21" s="178" t="s">
        <v>535</v>
      </c>
      <c r="B21" s="220" t="e">
        <f t="shared" ref="B21:G21" si="5">B5-B7-B9</f>
        <v>#REF!</v>
      </c>
      <c r="C21" s="180" t="e">
        <f t="shared" si="5"/>
        <v>#REF!</v>
      </c>
      <c r="D21" s="220" t="e">
        <f t="shared" si="5"/>
        <v>#REF!</v>
      </c>
      <c r="E21" s="180" t="e">
        <f t="shared" si="5"/>
        <v>#REF!</v>
      </c>
      <c r="F21" s="285" t="e">
        <f t="shared" si="5"/>
        <v>#REF!</v>
      </c>
      <c r="G21" s="286" t="e">
        <f t="shared" si="5"/>
        <v>#REF!</v>
      </c>
      <c r="O21" s="178" t="s">
        <v>535</v>
      </c>
      <c r="P21" s="220">
        <v>49748670.566463254</v>
      </c>
      <c r="Q21" s="180">
        <v>0.28039861157278689</v>
      </c>
      <c r="R21" s="220">
        <v>42401368.701117635</v>
      </c>
      <c r="S21" s="180">
        <v>0.22946025753630755</v>
      </c>
      <c r="T21" s="285">
        <v>92150039.267580912</v>
      </c>
      <c r="U21" s="286">
        <v>0.2544114723393584</v>
      </c>
      <c r="W21" s="317" t="e">
        <f>F21-T23</f>
        <v>#REF!</v>
      </c>
      <c r="X21" s="318" t="e">
        <f>F21/T23-1</f>
        <v>#REF!</v>
      </c>
      <c r="Y21" s="319" t="e">
        <f>G21-U23</f>
        <v>#REF!</v>
      </c>
    </row>
    <row r="22" spans="1:25" s="182" customFormat="1">
      <c r="A22" s="178"/>
      <c r="B22" s="179"/>
      <c r="C22" s="180"/>
      <c r="D22" s="179"/>
      <c r="E22" s="180"/>
      <c r="F22" s="287"/>
      <c r="G22" s="286"/>
      <c r="O22" s="178"/>
      <c r="P22" s="179"/>
      <c r="Q22" s="180"/>
      <c r="R22" s="179"/>
      <c r="S22" s="180"/>
      <c r="T22" s="287"/>
      <c r="U22" s="286"/>
      <c r="W22" s="304"/>
      <c r="X22" s="320"/>
      <c r="Y22" s="321"/>
    </row>
    <row r="23" spans="1:25" s="182" customFormat="1">
      <c r="A23" s="182" t="s">
        <v>554</v>
      </c>
      <c r="B23" s="179" t="e">
        <f t="shared" ref="B23:G23" si="6">SUM(B24:B37)</f>
        <v>#REF!</v>
      </c>
      <c r="C23" s="215" t="e">
        <f t="shared" si="6"/>
        <v>#REF!</v>
      </c>
      <c r="D23" s="179" t="e">
        <f t="shared" si="6"/>
        <v>#REF!</v>
      </c>
      <c r="E23" s="215" t="e">
        <f t="shared" si="6"/>
        <v>#REF!</v>
      </c>
      <c r="F23" s="278" t="e">
        <f t="shared" si="6"/>
        <v>#REF!</v>
      </c>
      <c r="G23" s="279" t="e">
        <f t="shared" si="6"/>
        <v>#REF!</v>
      </c>
      <c r="K23" s="182" t="s">
        <v>555</v>
      </c>
      <c r="L23" s="181" t="e">
        <f>F23/0.272</f>
        <v>#REF!</v>
      </c>
      <c r="O23" s="182" t="s">
        <v>554</v>
      </c>
      <c r="P23" s="179">
        <v>42610154.531852655</v>
      </c>
      <c r="Q23" s="215">
        <v>0.24933680984776932</v>
      </c>
      <c r="R23" s="179">
        <v>35958896.254517213</v>
      </c>
      <c r="S23" s="215">
        <v>0.19459602008237534</v>
      </c>
      <c r="T23" s="278">
        <v>78569050.786369875</v>
      </c>
      <c r="U23" s="279">
        <v>0.21691654230144672</v>
      </c>
      <c r="W23" s="315" t="e">
        <f>F23-T23</f>
        <v>#REF!</v>
      </c>
      <c r="X23" s="316" t="e">
        <f>F23/T23-1</f>
        <v>#REF!</v>
      </c>
      <c r="Y23" s="322" t="e">
        <f>G23-U23</f>
        <v>#REF!</v>
      </c>
    </row>
    <row r="24" spans="1:25">
      <c r="A24" s="168" t="str">
        <f>A50</f>
        <v>трейд-марке</v>
      </c>
      <c r="B24" s="170" t="e">
        <f>Модель!B29</f>
        <v>#REF!</v>
      </c>
      <c r="C24" s="171" t="e">
        <f>B24/$B$5</f>
        <v>#REF!</v>
      </c>
      <c r="D24" s="170"/>
      <c r="E24" s="171"/>
      <c r="F24" s="282" t="e">
        <f>B24</f>
        <v>#REF!</v>
      </c>
      <c r="G24" s="281" t="e">
        <f t="shared" ref="G24:G37" si="7">F24/$F$5</f>
        <v>#REF!</v>
      </c>
      <c r="H24" s="222"/>
      <c r="K24" s="182" t="s">
        <v>556</v>
      </c>
      <c r="L24" s="223" t="e">
        <f>F5/L23-100%</f>
        <v>#REF!</v>
      </c>
      <c r="O24" s="168" t="s">
        <v>544</v>
      </c>
      <c r="P24" s="170">
        <v>308837.75271716854</v>
      </c>
      <c r="Q24" s="171">
        <v>1.740703340955834E-3</v>
      </c>
      <c r="R24" s="170"/>
      <c r="S24" s="171"/>
      <c r="T24" s="282">
        <v>308837.75271716854</v>
      </c>
      <c r="U24" s="281">
        <v>8.5265148020827533E-4</v>
      </c>
      <c r="W24" s="315" t="e">
        <f t="shared" ref="W24:W37" si="8">F24-T24</f>
        <v>#REF!</v>
      </c>
      <c r="X24" s="316" t="e">
        <f t="shared" ref="X24:X37" si="9">F24/T24-1</f>
        <v>#REF!</v>
      </c>
      <c r="Y24" s="322" t="e">
        <f t="shared" ref="Y24:Y37" si="10">G24-U24</f>
        <v>#REF!</v>
      </c>
    </row>
    <row r="25" spans="1:25">
      <c r="A25" s="168" t="str">
        <f>A51</f>
        <v>размещение ТО</v>
      </c>
      <c r="B25" s="170" t="e">
        <f>#REF!</f>
        <v>#REF!</v>
      </c>
      <c r="C25" s="171" t="e">
        <f>B25/$B$5</f>
        <v>#REF!</v>
      </c>
      <c r="D25" s="170"/>
      <c r="E25" s="171"/>
      <c r="F25" s="282" t="e">
        <f>#REF!</f>
        <v>#REF!</v>
      </c>
      <c r="G25" s="281" t="e">
        <f t="shared" si="7"/>
        <v>#REF!</v>
      </c>
      <c r="H25" s="222"/>
      <c r="O25" s="168" t="s">
        <v>545</v>
      </c>
      <c r="P25" s="170">
        <v>3303490.0999999996</v>
      </c>
      <c r="Q25" s="171">
        <v>1.8619473180633762E-2</v>
      </c>
      <c r="R25" s="170"/>
      <c r="S25" s="171"/>
      <c r="T25" s="282">
        <v>3303490.0999999996</v>
      </c>
      <c r="U25" s="281">
        <v>9.1204060994379832E-3</v>
      </c>
      <c r="W25" s="315" t="e">
        <f t="shared" si="8"/>
        <v>#REF!</v>
      </c>
      <c r="X25" s="316" t="e">
        <f t="shared" si="9"/>
        <v>#REF!</v>
      </c>
      <c r="Y25" s="322" t="e">
        <f t="shared" si="10"/>
        <v>#REF!</v>
      </c>
    </row>
    <row r="26" spans="1:25">
      <c r="A26" s="168" t="str">
        <f>A53</f>
        <v>торговая команда</v>
      </c>
      <c r="B26" s="170" t="e">
        <f>Модель!B32</f>
        <v>#REF!</v>
      </c>
      <c r="C26" s="171" t="e">
        <f>B26/$B$5</f>
        <v>#REF!</v>
      </c>
      <c r="D26" s="170" t="e">
        <f>Модель!B44</f>
        <v>#REF!</v>
      </c>
      <c r="E26" s="171" t="e">
        <f>D26/$D$5</f>
        <v>#REF!</v>
      </c>
      <c r="F26" s="282" t="e">
        <f>B26+D26</f>
        <v>#REF!</v>
      </c>
      <c r="G26" s="281" t="e">
        <f t="shared" si="7"/>
        <v>#REF!</v>
      </c>
      <c r="H26" s="222"/>
      <c r="O26" s="168" t="s">
        <v>547</v>
      </c>
      <c r="P26" s="170">
        <v>8493520.6971506346</v>
      </c>
      <c r="Q26" s="171">
        <v>4.7872061378284148E-2</v>
      </c>
      <c r="R26" s="170">
        <v>3220000</v>
      </c>
      <c r="S26" s="171">
        <v>1.7425428751488281E-2</v>
      </c>
      <c r="T26" s="282">
        <v>11713520.697150635</v>
      </c>
      <c r="U26" s="281">
        <v>3.2339151133580123E-2</v>
      </c>
      <c r="W26" s="315" t="e">
        <f t="shared" si="8"/>
        <v>#REF!</v>
      </c>
      <c r="X26" s="316" t="e">
        <f t="shared" si="9"/>
        <v>#REF!</v>
      </c>
      <c r="Y26" s="322" t="e">
        <f t="shared" si="10"/>
        <v>#REF!</v>
      </c>
    </row>
    <row r="27" spans="1:25">
      <c r="A27" s="168" t="s">
        <v>542</v>
      </c>
      <c r="B27" s="170" t="e">
        <f>Модель!F27</f>
        <v>#REF!</v>
      </c>
      <c r="C27" s="171" t="e">
        <f>B27/$B$5</f>
        <v>#REF!</v>
      </c>
      <c r="D27" s="170"/>
      <c r="E27" s="171"/>
      <c r="F27" s="282" t="e">
        <f>Модель!F27</f>
        <v>#REF!</v>
      </c>
      <c r="G27" s="281" t="e">
        <f t="shared" si="7"/>
        <v>#REF!</v>
      </c>
      <c r="H27" s="222"/>
      <c r="O27" s="168" t="s">
        <v>542</v>
      </c>
      <c r="P27" s="170">
        <v>2429416.3299999996</v>
      </c>
      <c r="Q27" s="171">
        <v>1.3692928034211059E-2</v>
      </c>
      <c r="R27" s="170"/>
      <c r="S27" s="171"/>
      <c r="T27" s="282">
        <v>2429416.3299999996</v>
      </c>
      <c r="U27" s="281">
        <v>6.7072286713395143E-3</v>
      </c>
      <c r="W27" s="315" t="e">
        <f t="shared" si="8"/>
        <v>#REF!</v>
      </c>
      <c r="X27" s="316" t="e">
        <f t="shared" si="9"/>
        <v>#REF!</v>
      </c>
      <c r="Y27" s="322" t="e">
        <f t="shared" si="10"/>
        <v>#REF!</v>
      </c>
    </row>
    <row r="28" spans="1:25">
      <c r="A28" s="168" t="s">
        <v>529</v>
      </c>
      <c r="B28" s="170" t="e">
        <f>$B$5*C28</f>
        <v>#REF!</v>
      </c>
      <c r="C28" s="171" t="e">
        <f t="shared" ref="C28:C33" si="11">G28</f>
        <v>#REF!</v>
      </c>
      <c r="D28" s="170" t="e">
        <f>$D$5*E28</f>
        <v>#REF!</v>
      </c>
      <c r="E28" s="171" t="e">
        <f t="shared" ref="E28:E33" si="12">G28</f>
        <v>#REF!</v>
      </c>
      <c r="F28" s="282" t="e">
        <f>Модель!F9</f>
        <v>#REF!</v>
      </c>
      <c r="G28" s="281" t="e">
        <f t="shared" si="7"/>
        <v>#REF!</v>
      </c>
      <c r="O28" s="168" t="s">
        <v>529</v>
      </c>
      <c r="P28" s="170">
        <v>3529109.0330658732</v>
      </c>
      <c r="Q28" s="171">
        <v>1.9891129987858108E-2</v>
      </c>
      <c r="R28" s="170">
        <v>3675630.5669341269</v>
      </c>
      <c r="S28" s="171">
        <v>1.9891129987858108E-2</v>
      </c>
      <c r="T28" s="282">
        <v>7204739.5999999996</v>
      </c>
      <c r="U28" s="281">
        <v>1.9891129987858108E-2</v>
      </c>
      <c r="W28" s="315" t="e">
        <f t="shared" si="8"/>
        <v>#REF!</v>
      </c>
      <c r="X28" s="316" t="e">
        <f t="shared" si="9"/>
        <v>#REF!</v>
      </c>
      <c r="Y28" s="322" t="e">
        <f t="shared" si="10"/>
        <v>#REF!</v>
      </c>
    </row>
    <row r="29" spans="1:25">
      <c r="A29" s="168" t="s">
        <v>530</v>
      </c>
      <c r="B29" s="170" t="e">
        <f t="shared" ref="B29:B37" si="13">$B$5*C29</f>
        <v>#REF!</v>
      </c>
      <c r="C29" s="171" t="e">
        <f t="shared" si="11"/>
        <v>#REF!</v>
      </c>
      <c r="D29" s="170" t="e">
        <f>$D$5*E29</f>
        <v>#REF!</v>
      </c>
      <c r="E29" s="171" t="e">
        <f t="shared" si="12"/>
        <v>#REF!</v>
      </c>
      <c r="F29" s="282" t="e">
        <f>Модель!F10</f>
        <v>#REF!</v>
      </c>
      <c r="G29" s="281" t="e">
        <f t="shared" si="7"/>
        <v>#REF!</v>
      </c>
      <c r="O29" s="168" t="s">
        <v>530</v>
      </c>
      <c r="P29" s="170">
        <v>6359583.7097863909</v>
      </c>
      <c r="Q29" s="171">
        <v>3.5844544630045383E-2</v>
      </c>
      <c r="R29" s="170">
        <v>6623620.8792789858</v>
      </c>
      <c r="S29" s="171">
        <v>3.5844544630045383E-2</v>
      </c>
      <c r="T29" s="282">
        <v>12983204.589065377</v>
      </c>
      <c r="U29" s="281">
        <v>3.5844544630045383E-2</v>
      </c>
      <c r="W29" s="315" t="e">
        <f t="shared" si="8"/>
        <v>#REF!</v>
      </c>
      <c r="X29" s="316" t="e">
        <f t="shared" si="9"/>
        <v>#REF!</v>
      </c>
      <c r="Y29" s="322" t="e">
        <f t="shared" si="10"/>
        <v>#REF!</v>
      </c>
    </row>
    <row r="30" spans="1:25">
      <c r="A30" s="168" t="str">
        <f>A54</f>
        <v>амортизация ТО</v>
      </c>
      <c r="B30" s="170"/>
      <c r="C30" s="171"/>
      <c r="D30" s="170">
        <f>F30</f>
        <v>6000000</v>
      </c>
      <c r="E30" s="171" t="e">
        <f>D30/$D$5</f>
        <v>#REF!</v>
      </c>
      <c r="F30" s="282">
        <v>6000000</v>
      </c>
      <c r="G30" s="281" t="e">
        <f t="shared" si="7"/>
        <v>#REF!</v>
      </c>
      <c r="O30" s="168" t="s">
        <v>548</v>
      </c>
      <c r="P30" s="170"/>
      <c r="Q30" s="171"/>
      <c r="R30" s="170">
        <v>6000000</v>
      </c>
      <c r="S30" s="171">
        <v>3.2469743015195555E-2</v>
      </c>
      <c r="T30" s="282">
        <v>6000000</v>
      </c>
      <c r="U30" s="281">
        <v>1.6565037260631688E-2</v>
      </c>
      <c r="W30" s="315">
        <f t="shared" si="8"/>
        <v>0</v>
      </c>
      <c r="X30" s="316">
        <f t="shared" si="9"/>
        <v>0</v>
      </c>
      <c r="Y30" s="322" t="e">
        <f t="shared" si="10"/>
        <v>#REF!</v>
      </c>
    </row>
    <row r="31" spans="1:25">
      <c r="A31" s="168" t="s">
        <v>531</v>
      </c>
      <c r="B31" s="170" t="e">
        <f t="shared" si="13"/>
        <v>#REF!</v>
      </c>
      <c r="C31" s="171" t="e">
        <f t="shared" si="11"/>
        <v>#REF!</v>
      </c>
      <c r="D31" s="170" t="e">
        <f>$D$5*E31</f>
        <v>#REF!</v>
      </c>
      <c r="E31" s="171" t="e">
        <f t="shared" si="12"/>
        <v>#REF!</v>
      </c>
      <c r="F31" s="282" t="e">
        <f>Модель!F11</f>
        <v>#REF!</v>
      </c>
      <c r="G31" s="281" t="e">
        <f t="shared" si="7"/>
        <v>#REF!</v>
      </c>
      <c r="O31" s="168" t="s">
        <v>531</v>
      </c>
      <c r="P31" s="170">
        <v>6941505.3060703762</v>
      </c>
      <c r="Q31" s="171">
        <v>3.9124431424693643E-2</v>
      </c>
      <c r="R31" s="170">
        <v>7229702.6939296229</v>
      </c>
      <c r="S31" s="171">
        <v>3.9124431424693643E-2</v>
      </c>
      <c r="T31" s="282">
        <v>14171208</v>
      </c>
      <c r="U31" s="281">
        <v>3.9124431424693643E-2</v>
      </c>
      <c r="W31" s="315" t="e">
        <f t="shared" si="8"/>
        <v>#REF!</v>
      </c>
      <c r="X31" s="316" t="e">
        <f t="shared" si="9"/>
        <v>#REF!</v>
      </c>
      <c r="Y31" s="322" t="e">
        <f t="shared" si="10"/>
        <v>#REF!</v>
      </c>
    </row>
    <row r="32" spans="1:25">
      <c r="A32" s="168" t="str">
        <f>Модель!A33</f>
        <v>ремонт ОС</v>
      </c>
      <c r="B32" s="170"/>
      <c r="C32" s="171"/>
      <c r="D32" s="170" t="e">
        <f>F32</f>
        <v>#REF!</v>
      </c>
      <c r="E32" s="171" t="e">
        <f>G32</f>
        <v>#REF!</v>
      </c>
      <c r="F32" s="282" t="e">
        <f>Модель!F33</f>
        <v>#REF!</v>
      </c>
      <c r="G32" s="281" t="e">
        <f t="shared" si="7"/>
        <v>#REF!</v>
      </c>
      <c r="P32" s="170"/>
      <c r="Q32" s="171"/>
      <c r="R32" s="170">
        <v>780933.77</v>
      </c>
      <c r="S32" s="171">
        <v>4.2261198039646392E-3</v>
      </c>
      <c r="T32" s="282">
        <v>780933.77</v>
      </c>
      <c r="U32" s="281">
        <v>2.1560328330225962E-3</v>
      </c>
      <c r="W32" s="315" t="e">
        <f t="shared" si="8"/>
        <v>#REF!</v>
      </c>
      <c r="X32" s="316" t="e">
        <f t="shared" si="9"/>
        <v>#REF!</v>
      </c>
      <c r="Y32" s="322" t="e">
        <f t="shared" si="10"/>
        <v>#REF!</v>
      </c>
    </row>
    <row r="33" spans="1:25">
      <c r="A33" s="168" t="s">
        <v>532</v>
      </c>
      <c r="B33" s="170" t="e">
        <f t="shared" si="13"/>
        <v>#REF!</v>
      </c>
      <c r="C33" s="171" t="e">
        <f t="shared" si="11"/>
        <v>#REF!</v>
      </c>
      <c r="D33" s="170" t="e">
        <f>$D$5*E33</f>
        <v>#REF!</v>
      </c>
      <c r="E33" s="171" t="e">
        <f t="shared" si="12"/>
        <v>#REF!</v>
      </c>
      <c r="F33" s="282" t="e">
        <f>Модель!F12</f>
        <v>#REF!</v>
      </c>
      <c r="G33" s="281" t="e">
        <f t="shared" si="7"/>
        <v>#REF!</v>
      </c>
      <c r="O33" s="168" t="s">
        <v>532</v>
      </c>
      <c r="P33" s="170">
        <v>2649566.7298728344</v>
      </c>
      <c r="Q33" s="171">
        <v>1.4933762528050787E-2</v>
      </c>
      <c r="R33" s="170">
        <v>2759571.4301271648</v>
      </c>
      <c r="S33" s="171">
        <v>1.4933762528050787E-2</v>
      </c>
      <c r="T33" s="282">
        <v>5409138.1599999992</v>
      </c>
      <c r="U33" s="281">
        <v>1.4933762528050787E-2</v>
      </c>
      <c r="W33" s="315" t="e">
        <f t="shared" si="8"/>
        <v>#REF!</v>
      </c>
      <c r="X33" s="316" t="e">
        <f t="shared" si="9"/>
        <v>#REF!</v>
      </c>
      <c r="Y33" s="322" t="e">
        <f t="shared" si="10"/>
        <v>#REF!</v>
      </c>
    </row>
    <row r="34" spans="1:25">
      <c r="A34" s="168" t="str">
        <f>A44</f>
        <v>аренда для сетей</v>
      </c>
      <c r="B34" s="173">
        <f>Модель!B23</f>
        <v>4678705.4057815941</v>
      </c>
      <c r="C34" s="171" t="e">
        <f>B34/$B$5</f>
        <v>#REF!</v>
      </c>
      <c r="D34" s="170"/>
      <c r="E34" s="171"/>
      <c r="F34" s="282">
        <f>B34+D44</f>
        <v>4678705.4057815941</v>
      </c>
      <c r="G34" s="281" t="e">
        <f t="shared" si="7"/>
        <v>#REF!</v>
      </c>
      <c r="O34" s="168" t="s">
        <v>539</v>
      </c>
      <c r="P34" s="173">
        <v>3151688.5261148708</v>
      </c>
      <c r="Q34" s="171">
        <v>1.7763873421538932E-2</v>
      </c>
      <c r="R34" s="170"/>
      <c r="S34" s="171"/>
      <c r="T34" s="282">
        <v>3151688.5261148708</v>
      </c>
      <c r="U34" s="281">
        <v>8.7013063114997E-3</v>
      </c>
      <c r="W34" s="315">
        <f t="shared" si="8"/>
        <v>1527016.8796667233</v>
      </c>
      <c r="X34" s="316">
        <f t="shared" si="9"/>
        <v>0.48450754794259376</v>
      </c>
      <c r="Y34" s="322" t="e">
        <f t="shared" si="10"/>
        <v>#REF!</v>
      </c>
    </row>
    <row r="35" spans="1:25" s="172" customFormat="1">
      <c r="A35" s="172" t="s">
        <v>533</v>
      </c>
      <c r="B35" s="173" t="e">
        <f>Модель!B13</f>
        <v>#REF!</v>
      </c>
      <c r="C35" s="171" t="e">
        <f>B35/$B$5</f>
        <v>#REF!</v>
      </c>
      <c r="D35" s="173" t="e">
        <f>Модель!D13</f>
        <v>#REF!</v>
      </c>
      <c r="E35" s="174" t="e">
        <f>D35/$D$5</f>
        <v>#REF!</v>
      </c>
      <c r="F35" s="282" t="e">
        <f>B35+D35</f>
        <v>#REF!</v>
      </c>
      <c r="G35" s="283" t="e">
        <f t="shared" si="7"/>
        <v>#REF!</v>
      </c>
      <c r="H35" s="175">
        <f>'[8]P&amp;L month Dream'!AJ68-'[8]модель УДИ'!B38</f>
        <v>3484079.8524995563</v>
      </c>
      <c r="I35" s="217">
        <f>B34/'[8]P&amp;L month Dream'!AJ68</f>
        <v>0.76083706449758692</v>
      </c>
      <c r="J35" s="217"/>
      <c r="K35" s="217"/>
      <c r="O35" s="172" t="s">
        <v>533</v>
      </c>
      <c r="P35" s="173">
        <v>1468382.7573954202</v>
      </c>
      <c r="Q35" s="171">
        <v>1.74492930187461E-2</v>
      </c>
      <c r="R35" s="173">
        <v>1529347.0664897086</v>
      </c>
      <c r="S35" s="174">
        <v>8.2762510383273379E-3</v>
      </c>
      <c r="T35" s="282">
        <v>2997729.8238851288</v>
      </c>
      <c r="U35" s="283">
        <v>8.2762510383273379E-3</v>
      </c>
      <c r="W35" s="315" t="e">
        <f t="shared" si="8"/>
        <v>#REF!</v>
      </c>
      <c r="X35" s="316" t="e">
        <f t="shared" si="9"/>
        <v>#REF!</v>
      </c>
      <c r="Y35" s="322" t="e">
        <f t="shared" si="10"/>
        <v>#REF!</v>
      </c>
    </row>
    <row r="36" spans="1:25">
      <c r="A36" s="168" t="s">
        <v>528</v>
      </c>
      <c r="B36" s="170" t="e">
        <f>$B$5*C36</f>
        <v>#REF!</v>
      </c>
      <c r="C36" s="171" t="e">
        <f>G36</f>
        <v>#REF!</v>
      </c>
      <c r="D36" s="170" t="e">
        <f>$D$5*E36</f>
        <v>#REF!</v>
      </c>
      <c r="E36" s="171" t="e">
        <f>G36</f>
        <v>#REF!</v>
      </c>
      <c r="F36" s="282" t="e">
        <f>Модель!F8</f>
        <v>#REF!</v>
      </c>
      <c r="G36" s="281" t="e">
        <f t="shared" si="7"/>
        <v>#REF!</v>
      </c>
      <c r="H36" s="222"/>
      <c r="O36" s="168" t="s">
        <v>528</v>
      </c>
      <c r="P36" s="170">
        <v>2665338.4975004434</v>
      </c>
      <c r="Q36" s="171">
        <v>1.5022656998887388E-2</v>
      </c>
      <c r="R36" s="170">
        <v>2775998.0099362503</v>
      </c>
      <c r="S36" s="171">
        <v>1.5022656998887388E-2</v>
      </c>
      <c r="T36" s="282">
        <v>5441336.5074366936</v>
      </c>
      <c r="U36" s="281">
        <v>1.5022656998887388E-2</v>
      </c>
      <c r="W36" s="315" t="e">
        <f t="shared" si="8"/>
        <v>#REF!</v>
      </c>
      <c r="X36" s="316" t="e">
        <f t="shared" si="9"/>
        <v>#REF!</v>
      </c>
      <c r="Y36" s="322" t="e">
        <f t="shared" si="10"/>
        <v>#REF!</v>
      </c>
    </row>
    <row r="37" spans="1:25" ht="16.5" thickBot="1">
      <c r="A37" s="176" t="s">
        <v>510</v>
      </c>
      <c r="B37" s="170" t="e">
        <f t="shared" si="13"/>
        <v>#REF!</v>
      </c>
      <c r="C37" s="177" t="e">
        <f>G37</f>
        <v>#REF!</v>
      </c>
      <c r="D37" s="170" t="e">
        <f>$D$5*E37</f>
        <v>#REF!</v>
      </c>
      <c r="E37" s="177" t="e">
        <f>G37</f>
        <v>#REF!</v>
      </c>
      <c r="F37" s="330" t="e">
        <f>Модель!F17</f>
        <v>#REF!</v>
      </c>
      <c r="G37" s="284" t="e">
        <f t="shared" si="7"/>
        <v>#REF!</v>
      </c>
      <c r="O37" s="176" t="s">
        <v>510</v>
      </c>
      <c r="P37" s="170">
        <v>1309715.0921786446</v>
      </c>
      <c r="Q37" s="177">
        <v>7.3819519038642043E-3</v>
      </c>
      <c r="R37" s="170">
        <v>1364091.8378213556</v>
      </c>
      <c r="S37" s="177">
        <v>7.3819519038642043E-3</v>
      </c>
      <c r="T37" s="330">
        <v>2673806.9300000002</v>
      </c>
      <c r="U37" s="284">
        <v>7.3819519038642043E-3</v>
      </c>
      <c r="W37" s="315" t="e">
        <f t="shared" si="8"/>
        <v>#REF!</v>
      </c>
      <c r="X37" s="316" t="e">
        <f t="shared" si="9"/>
        <v>#REF!</v>
      </c>
      <c r="Y37" s="322" t="e">
        <f t="shared" si="10"/>
        <v>#REF!</v>
      </c>
    </row>
    <row r="38" spans="1:25">
      <c r="A38" s="218"/>
      <c r="B38" s="170"/>
      <c r="C38" s="219"/>
      <c r="D38" s="170"/>
      <c r="E38" s="219"/>
      <c r="F38" s="170"/>
      <c r="G38" s="219"/>
      <c r="O38" s="218"/>
      <c r="P38" s="170"/>
      <c r="Q38" s="219"/>
      <c r="R38" s="170"/>
      <c r="S38" s="219"/>
      <c r="T38" s="170"/>
      <c r="U38" s="219"/>
      <c r="W38" s="172"/>
      <c r="X38" s="271"/>
      <c r="Y38" s="271"/>
    </row>
    <row r="39" spans="1:25" s="221" customFormat="1">
      <c r="A39" s="178" t="s">
        <v>535</v>
      </c>
      <c r="B39" s="224" t="e">
        <f t="shared" ref="B39:G39" si="14">B21-SUM(B23)</f>
        <v>#REF!</v>
      </c>
      <c r="C39" s="180" t="e">
        <f t="shared" si="14"/>
        <v>#REF!</v>
      </c>
      <c r="D39" s="224" t="e">
        <f t="shared" si="14"/>
        <v>#REF!</v>
      </c>
      <c r="E39" s="180" t="e">
        <f t="shared" si="14"/>
        <v>#REF!</v>
      </c>
      <c r="F39" s="224" t="e">
        <f t="shared" si="14"/>
        <v>#REF!</v>
      </c>
      <c r="G39" s="180" t="e">
        <f t="shared" si="14"/>
        <v>#REF!</v>
      </c>
      <c r="O39" s="178" t="s">
        <v>535</v>
      </c>
      <c r="P39" s="224">
        <v>7138516.0346105993</v>
      </c>
      <c r="Q39" s="180">
        <v>3.1061801725017574E-2</v>
      </c>
      <c r="R39" s="224">
        <v>6442472.4466004223</v>
      </c>
      <c r="S39" s="180">
        <v>3.4864237453932218E-2</v>
      </c>
      <c r="T39" s="224">
        <v>13580988.481211036</v>
      </c>
      <c r="U39" s="180">
        <v>3.7494930037911683E-2</v>
      </c>
      <c r="W39" s="272" t="e">
        <f>F39-T39</f>
        <v>#REF!</v>
      </c>
      <c r="X39" s="258" t="e">
        <f>F39/T39-1</f>
        <v>#REF!</v>
      </c>
      <c r="Y39" s="258" t="e">
        <f>G39-U39</f>
        <v>#REF!</v>
      </c>
    </row>
    <row r="40" spans="1:25">
      <c r="A40" s="183"/>
      <c r="B40" s="170"/>
      <c r="C40" s="184"/>
      <c r="D40" s="170"/>
      <c r="E40" s="184"/>
      <c r="O40" s="183"/>
      <c r="P40" s="170"/>
      <c r="Q40" s="184"/>
      <c r="R40" s="170"/>
      <c r="S40" s="184"/>
    </row>
    <row r="41" spans="1:25" s="170" customFormat="1" ht="15.75" hidden="1" customHeight="1">
      <c r="A41" s="185" t="s">
        <v>536</v>
      </c>
      <c r="O41" s="185" t="s">
        <v>536</v>
      </c>
    </row>
    <row r="42" spans="1:25" s="182" customFormat="1" ht="15.75" hidden="1" customHeight="1">
      <c r="A42" s="186" t="s">
        <v>537</v>
      </c>
      <c r="B42" s="179">
        <f>SUM(B43:B44)</f>
        <v>0</v>
      </c>
      <c r="C42" s="187"/>
      <c r="D42" s="179"/>
      <c r="E42" s="188"/>
      <c r="F42" s="181"/>
      <c r="G42" s="188"/>
      <c r="O42" s="186" t="s">
        <v>537</v>
      </c>
      <c r="P42" s="179">
        <v>0</v>
      </c>
      <c r="Q42" s="187"/>
      <c r="R42" s="179"/>
      <c r="S42" s="188"/>
      <c r="T42" s="181"/>
      <c r="U42" s="188"/>
    </row>
    <row r="43" spans="1:25" s="172" customFormat="1" ht="15.75" hidden="1" customHeight="1">
      <c r="A43" s="172" t="s">
        <v>538</v>
      </c>
      <c r="C43" s="174"/>
      <c r="D43" s="173"/>
      <c r="E43" s="174"/>
      <c r="G43" s="189"/>
      <c r="O43" s="172" t="s">
        <v>538</v>
      </c>
      <c r="Q43" s="174"/>
      <c r="R43" s="173"/>
      <c r="S43" s="174"/>
      <c r="U43" s="189"/>
    </row>
    <row r="44" spans="1:25" s="172" customFormat="1" ht="15.75" hidden="1" customHeight="1">
      <c r="A44" s="172" t="s">
        <v>539</v>
      </c>
      <c r="C44" s="174"/>
      <c r="G44" s="189"/>
      <c r="O44" s="172" t="s">
        <v>539</v>
      </c>
      <c r="Q44" s="174"/>
      <c r="U44" s="189"/>
    </row>
    <row r="45" spans="1:25" ht="15.75" hidden="1" customHeight="1">
      <c r="B45" s="170"/>
      <c r="D45" s="170"/>
      <c r="F45" s="190"/>
      <c r="G45" s="191"/>
      <c r="P45" s="170"/>
      <c r="R45" s="170"/>
      <c r="T45" s="190"/>
      <c r="U45" s="191"/>
    </row>
    <row r="46" spans="1:25" s="182" customFormat="1" ht="15.75" hidden="1" customHeight="1">
      <c r="A46" s="186" t="s">
        <v>540</v>
      </c>
      <c r="B46" s="181">
        <f>SUM(B47:B54)</f>
        <v>0</v>
      </c>
      <c r="C46" s="187"/>
      <c r="D46" s="181"/>
      <c r="E46" s="188"/>
      <c r="F46" s="181"/>
      <c r="G46" s="188"/>
      <c r="O46" s="186" t="s">
        <v>540</v>
      </c>
      <c r="P46" s="181">
        <v>0</v>
      </c>
      <c r="Q46" s="187"/>
      <c r="R46" s="181"/>
      <c r="S46" s="188"/>
      <c r="T46" s="181"/>
      <c r="U46" s="188"/>
    </row>
    <row r="47" spans="1:25" ht="15.75" hidden="1" customHeight="1">
      <c r="A47" s="168" t="s">
        <v>541</v>
      </c>
      <c r="B47" s="170"/>
      <c r="C47" s="171"/>
      <c r="D47" s="170"/>
      <c r="F47" s="170"/>
      <c r="G47" s="191"/>
      <c r="O47" s="168" t="s">
        <v>541</v>
      </c>
      <c r="P47" s="170"/>
      <c r="Q47" s="171"/>
      <c r="R47" s="170"/>
      <c r="T47" s="170"/>
      <c r="U47" s="191"/>
    </row>
    <row r="48" spans="1:25" ht="15.75" hidden="1" customHeight="1">
      <c r="A48" s="168" t="s">
        <v>542</v>
      </c>
      <c r="C48" s="171"/>
      <c r="D48" s="170"/>
      <c r="F48" s="170"/>
      <c r="G48" s="191"/>
      <c r="O48" s="168" t="s">
        <v>542</v>
      </c>
      <c r="Q48" s="171"/>
      <c r="R48" s="170"/>
      <c r="T48" s="170"/>
      <c r="U48" s="191"/>
    </row>
    <row r="49" spans="1:21" ht="15.75" hidden="1" customHeight="1">
      <c r="A49" s="168" t="s">
        <v>557</v>
      </c>
      <c r="B49" s="170"/>
      <c r="C49" s="171"/>
      <c r="D49" s="170"/>
      <c r="F49" s="170"/>
      <c r="G49" s="191"/>
      <c r="O49" s="168" t="s">
        <v>557</v>
      </c>
      <c r="P49" s="170"/>
      <c r="Q49" s="171"/>
      <c r="R49" s="170"/>
      <c r="T49" s="170"/>
      <c r="U49" s="191"/>
    </row>
    <row r="50" spans="1:21" ht="15.75" hidden="1" customHeight="1">
      <c r="A50" s="168" t="s">
        <v>544</v>
      </c>
      <c r="C50" s="171"/>
      <c r="D50" s="170"/>
      <c r="E50" s="171"/>
      <c r="F50" s="170"/>
      <c r="G50" s="191"/>
      <c r="O50" s="168" t="s">
        <v>544</v>
      </c>
      <c r="Q50" s="171"/>
      <c r="R50" s="170"/>
      <c r="S50" s="171"/>
      <c r="T50" s="170"/>
      <c r="U50" s="191"/>
    </row>
    <row r="51" spans="1:21" ht="15.75" hidden="1" customHeight="1">
      <c r="A51" s="168" t="s">
        <v>545</v>
      </c>
      <c r="C51" s="171"/>
      <c r="D51" s="170"/>
      <c r="F51" s="170"/>
      <c r="G51" s="191"/>
      <c r="O51" s="168" t="s">
        <v>545</v>
      </c>
      <c r="Q51" s="171"/>
      <c r="R51" s="170"/>
      <c r="T51" s="170"/>
      <c r="U51" s="191"/>
    </row>
    <row r="52" spans="1:21" ht="15.75" hidden="1" customHeight="1">
      <c r="A52" s="168" t="s">
        <v>546</v>
      </c>
      <c r="B52" s="170"/>
      <c r="D52" s="225"/>
      <c r="E52" s="226"/>
      <c r="F52" s="170"/>
      <c r="G52" s="191"/>
      <c r="H52" s="192"/>
      <c r="O52" s="168" t="s">
        <v>546</v>
      </c>
      <c r="P52" s="170"/>
      <c r="R52" s="225"/>
      <c r="S52" s="226"/>
      <c r="T52" s="170"/>
      <c r="U52" s="191"/>
    </row>
    <row r="53" spans="1:21" ht="15.75" hidden="1" customHeight="1">
      <c r="A53" s="168" t="s">
        <v>547</v>
      </c>
      <c r="C53" s="171"/>
      <c r="E53" s="171"/>
      <c r="G53" s="191"/>
      <c r="I53" s="170"/>
      <c r="J53" s="170"/>
      <c r="K53" s="170"/>
      <c r="L53" s="170"/>
      <c r="M53" s="170"/>
      <c r="O53" s="168" t="s">
        <v>547</v>
      </c>
      <c r="Q53" s="171"/>
      <c r="S53" s="171"/>
      <c r="U53" s="191"/>
    </row>
    <row r="54" spans="1:21" ht="15.75" hidden="1" customHeight="1">
      <c r="A54" s="168" t="s">
        <v>548</v>
      </c>
      <c r="B54" s="170"/>
      <c r="E54" s="171"/>
      <c r="G54" s="191"/>
      <c r="I54" s="192"/>
      <c r="J54" s="192"/>
      <c r="K54" s="192"/>
      <c r="L54" s="192"/>
      <c r="M54" s="193"/>
      <c r="O54" s="168" t="s">
        <v>548</v>
      </c>
      <c r="P54" s="170"/>
      <c r="S54" s="171"/>
      <c r="U54" s="191"/>
    </row>
    <row r="55" spans="1:21" ht="15.75" hidden="1" customHeight="1">
      <c r="B55" s="170"/>
      <c r="C55" s="195"/>
      <c r="D55" s="170"/>
      <c r="E55" s="195"/>
      <c r="G55" s="195"/>
      <c r="P55" s="170"/>
      <c r="Q55" s="195"/>
      <c r="R55" s="170"/>
      <c r="S55" s="195"/>
      <c r="U55" s="195"/>
    </row>
    <row r="56" spans="1:21" s="182" customFormat="1">
      <c r="A56" s="221" t="s">
        <v>550</v>
      </c>
      <c r="B56" s="224" t="e">
        <f>B39-B42-B46</f>
        <v>#REF!</v>
      </c>
      <c r="C56" s="227" t="e">
        <f>B56/B5</f>
        <v>#REF!</v>
      </c>
      <c r="D56" s="224" t="e">
        <f>D5*E56</f>
        <v>#REF!</v>
      </c>
      <c r="E56" s="227" t="e">
        <f>E39-E55</f>
        <v>#REF!</v>
      </c>
      <c r="F56" s="228" t="e">
        <f>F5*G56</f>
        <v>#REF!</v>
      </c>
      <c r="G56" s="227" t="e">
        <f>G39-G55</f>
        <v>#REF!</v>
      </c>
      <c r="O56" s="221" t="s">
        <v>550</v>
      </c>
      <c r="P56" s="224">
        <v>7138516.0346105993</v>
      </c>
      <c r="Q56" s="227">
        <v>4.0234843705436299E-2</v>
      </c>
      <c r="R56" s="224">
        <v>6442472.4466004046</v>
      </c>
      <c r="S56" s="227">
        <v>3.4864237453932218E-2</v>
      </c>
      <c r="T56" s="228">
        <v>13580988.481211007</v>
      </c>
      <c r="U56" s="227">
        <v>3.7494930037911683E-2</v>
      </c>
    </row>
    <row r="57" spans="1:21">
      <c r="B57" s="170" t="e">
        <f>B39-B42-B46</f>
        <v>#REF!</v>
      </c>
      <c r="D57" s="170" t="e">
        <f>D39-D42-D46</f>
        <v>#REF!</v>
      </c>
      <c r="P57" s="170">
        <v>7138516.0346105993</v>
      </c>
      <c r="R57" s="170">
        <v>6442472.4466004223</v>
      </c>
    </row>
    <row r="58" spans="1:21">
      <c r="B58" s="170"/>
      <c r="D58" s="170"/>
      <c r="F58" s="192" t="e">
        <f>Модель!F39</f>
        <v>#REF!</v>
      </c>
      <c r="P58" s="170"/>
      <c r="R58" s="170"/>
      <c r="S58" s="168" t="s">
        <v>564</v>
      </c>
      <c r="T58" s="192">
        <v>1127955.9099570718</v>
      </c>
    </row>
    <row r="59" spans="1:21">
      <c r="B59" s="170"/>
      <c r="D59" s="170"/>
      <c r="F59" s="192" t="e">
        <f>SUM(B57:D57)</f>
        <v>#REF!</v>
      </c>
      <c r="P59" s="170"/>
      <c r="R59" s="170"/>
      <c r="T59" s="192">
        <v>13580988.481211022</v>
      </c>
    </row>
    <row r="60" spans="1:21">
      <c r="B60" s="170"/>
      <c r="D60" s="170"/>
      <c r="F60" s="192" t="e">
        <f>SUM(F58:F59)</f>
        <v>#REF!</v>
      </c>
      <c r="P60" s="170"/>
      <c r="R60" s="170"/>
      <c r="T60" s="192">
        <v>14708944.391168093</v>
      </c>
    </row>
    <row r="61" spans="1:21" ht="15.75" hidden="1" customHeight="1">
      <c r="B61" s="170"/>
      <c r="D61" s="170"/>
      <c r="K61" s="221" t="s">
        <v>558</v>
      </c>
      <c r="P61" s="170"/>
      <c r="R61" s="170"/>
    </row>
    <row r="62" spans="1:21" ht="15.75" hidden="1" customHeight="1">
      <c r="B62" s="170"/>
      <c r="D62" s="170"/>
      <c r="K62" s="168" t="s">
        <v>559</v>
      </c>
      <c r="L62" s="229">
        <v>422733046.49686384</v>
      </c>
      <c r="O62" s="230" t="e">
        <f>L62/L23-100%</f>
        <v>#REF!</v>
      </c>
      <c r="P62" s="170"/>
      <c r="R62" s="170"/>
    </row>
    <row r="63" spans="1:21" ht="15.75" hidden="1" customHeight="1">
      <c r="D63" s="170"/>
      <c r="K63" s="168" t="s">
        <v>560</v>
      </c>
      <c r="L63" s="229">
        <v>363962610.89329636</v>
      </c>
      <c r="O63" s="230" t="e">
        <f>L63/#REF!-100%</f>
        <v>#REF!</v>
      </c>
      <c r="R63" s="170"/>
    </row>
    <row r="64" spans="1:21" ht="15.75" hidden="1" customHeight="1">
      <c r="D64" s="170"/>
      <c r="K64" s="168" t="s">
        <v>561</v>
      </c>
      <c r="L64" s="222" t="e">
        <f>F39*(O63*#REF!)</f>
        <v>#REF!</v>
      </c>
      <c r="O64" s="230" t="e">
        <f>O63*#REF!</f>
        <v>#REF!</v>
      </c>
      <c r="R64" s="170"/>
    </row>
    <row r="65" spans="4:20">
      <c r="D65" s="170"/>
      <c r="F65" s="192" t="e">
        <f>Модель!F41-'Модель УДИ'!F60</f>
        <v>#REF!</v>
      </c>
      <c r="R65" s="170"/>
      <c r="T65" s="192">
        <v>-6.1467289924621582E-8</v>
      </c>
    </row>
  </sheetData>
  <mergeCells count="13">
    <mergeCell ref="W2:Y2"/>
    <mergeCell ref="P1:Q1"/>
    <mergeCell ref="R1:S1"/>
    <mergeCell ref="T1:U1"/>
    <mergeCell ref="P2:Q2"/>
    <mergeCell ref="R2:S2"/>
    <mergeCell ref="T2:U2"/>
    <mergeCell ref="B1:C1"/>
    <mergeCell ref="D1:E1"/>
    <mergeCell ref="F1:G1"/>
    <mergeCell ref="B2:C2"/>
    <mergeCell ref="D2:E2"/>
    <mergeCell ref="F2:G2"/>
  </mergeCells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56"/>
  <sheetViews>
    <sheetView workbookViewId="0">
      <pane ySplit="4" topLeftCell="A5" activePane="bottomLeft" state="frozen"/>
      <selection activeCell="D653" sqref="A653:XFD657"/>
      <selection pane="bottomLeft" activeCell="D653" sqref="A653:XFD657"/>
    </sheetView>
  </sheetViews>
  <sheetFormatPr defaultRowHeight="15"/>
  <cols>
    <col min="1" max="1" width="55.7109375" customWidth="1"/>
    <col min="2" max="2" width="16.140625" customWidth="1"/>
    <col min="3" max="4" width="10.85546875" customWidth="1"/>
    <col min="5" max="5" width="16.140625" customWidth="1"/>
    <col min="6" max="6" width="10.85546875" customWidth="1"/>
    <col min="7" max="7" width="10.85546875" bestFit="1" customWidth="1"/>
    <col min="8" max="8" width="11.85546875" hidden="1" customWidth="1"/>
  </cols>
  <sheetData>
    <row r="1" spans="1:8">
      <c r="A1" s="344" t="s">
        <v>576</v>
      </c>
    </row>
    <row r="3" spans="1:8">
      <c r="A3" s="13" t="s">
        <v>457</v>
      </c>
    </row>
    <row r="4" spans="1:8">
      <c r="B4">
        <v>2013</v>
      </c>
      <c r="E4">
        <v>2014</v>
      </c>
      <c r="H4" s="160" t="s">
        <v>434</v>
      </c>
    </row>
    <row r="5" spans="1:8">
      <c r="B5" s="160" t="s">
        <v>245</v>
      </c>
      <c r="C5" s="160" t="s">
        <v>442</v>
      </c>
      <c r="D5" s="160" t="s">
        <v>439</v>
      </c>
      <c r="E5" s="160" t="s">
        <v>245</v>
      </c>
      <c r="F5" s="160" t="s">
        <v>442</v>
      </c>
      <c r="G5" s="160" t="s">
        <v>439</v>
      </c>
      <c r="H5" s="160"/>
    </row>
    <row r="6" spans="1:8">
      <c r="A6" s="14" t="s">
        <v>449</v>
      </c>
      <c r="B6" s="12">
        <v>183888481.65626368</v>
      </c>
      <c r="C6" s="12">
        <v>178320181.42109281</v>
      </c>
      <c r="D6" s="12"/>
      <c r="E6" s="12">
        <v>188809812.73699844</v>
      </c>
      <c r="F6" s="12">
        <v>202596679.47749156</v>
      </c>
      <c r="G6" s="12"/>
      <c r="H6" s="12">
        <v>753615155.29184651</v>
      </c>
    </row>
    <row r="7" spans="1:8">
      <c r="A7" s="14" t="s">
        <v>448</v>
      </c>
      <c r="B7" s="12">
        <v>141835226.32288048</v>
      </c>
      <c r="C7" s="12">
        <v>176167862.15090832</v>
      </c>
      <c r="D7" s="12"/>
      <c r="E7" s="12">
        <v>139889586.14545944</v>
      </c>
      <c r="F7" s="12">
        <v>196813764.54575527</v>
      </c>
      <c r="G7" s="12"/>
      <c r="H7" s="12">
        <v>654706439.16500354</v>
      </c>
    </row>
    <row r="8" spans="1:8">
      <c r="A8" s="14" t="s">
        <v>574</v>
      </c>
      <c r="B8" s="12">
        <v>58141311.811235614</v>
      </c>
      <c r="C8" s="12">
        <v>41287724.973086566</v>
      </c>
      <c r="D8" s="12">
        <v>161317448.94763005</v>
      </c>
      <c r="E8" s="12">
        <v>52604524.393475801</v>
      </c>
      <c r="F8" s="12">
        <v>23261900.365215477</v>
      </c>
      <c r="G8" s="12">
        <v>195244248.02466923</v>
      </c>
      <c r="H8" s="12">
        <v>531857158.51531273</v>
      </c>
    </row>
    <row r="9" spans="1:8">
      <c r="A9" s="15" t="s">
        <v>292</v>
      </c>
      <c r="B9" s="12"/>
      <c r="C9" s="12"/>
      <c r="D9" s="12">
        <v>141938907.83763003</v>
      </c>
      <c r="E9" s="12"/>
      <c r="F9" s="12"/>
      <c r="G9" s="12">
        <v>155784791.51553762</v>
      </c>
      <c r="H9" s="12">
        <v>297723699.35316765</v>
      </c>
    </row>
    <row r="10" spans="1:8">
      <c r="A10" s="15" t="s">
        <v>575</v>
      </c>
      <c r="B10" s="12">
        <v>44205574.60356763</v>
      </c>
      <c r="C10" s="12"/>
      <c r="D10" s="12"/>
      <c r="E10" s="12">
        <v>48920226.591538996</v>
      </c>
      <c r="F10" s="12"/>
      <c r="G10" s="12"/>
      <c r="H10" s="12">
        <v>93125801.195106626</v>
      </c>
    </row>
    <row r="11" spans="1:8">
      <c r="A11" s="15" t="s">
        <v>92</v>
      </c>
      <c r="B11" s="12">
        <v>9916729</v>
      </c>
      <c r="C11" s="12">
        <v>11910709.390000001</v>
      </c>
      <c r="D11" s="12"/>
      <c r="E11" s="12"/>
      <c r="F11" s="12"/>
      <c r="G11" s="12">
        <v>21799075.251409516</v>
      </c>
      <c r="H11" s="12">
        <v>43626513.641409516</v>
      </c>
    </row>
    <row r="12" spans="1:8">
      <c r="A12" s="15" t="s">
        <v>32</v>
      </c>
      <c r="B12" s="12">
        <v>4019008.2076679841</v>
      </c>
      <c r="C12" s="12">
        <v>29377015.583086565</v>
      </c>
      <c r="D12" s="12"/>
      <c r="E12" s="12">
        <v>3684297.8019368052</v>
      </c>
      <c r="F12" s="12">
        <v>23261900.365215477</v>
      </c>
      <c r="G12" s="12"/>
      <c r="H12" s="12">
        <v>60342221.957906827</v>
      </c>
    </row>
    <row r="13" spans="1:8">
      <c r="A13" s="348" t="s">
        <v>45</v>
      </c>
      <c r="B13" s="355">
        <v>443594.39766798419</v>
      </c>
      <c r="C13" s="355">
        <v>1179217.7030865576</v>
      </c>
      <c r="D13" s="355"/>
      <c r="E13" s="355">
        <v>248022</v>
      </c>
      <c r="F13" s="355">
        <v>1182583</v>
      </c>
      <c r="G13" s="356"/>
      <c r="H13" s="12">
        <v>3053417.1007545418</v>
      </c>
    </row>
    <row r="14" spans="1:8">
      <c r="A14" s="348" t="s">
        <v>9</v>
      </c>
      <c r="B14" s="345">
        <v>3099866.61</v>
      </c>
      <c r="C14" s="345"/>
      <c r="D14" s="355"/>
      <c r="E14" s="345">
        <v>3050175.8019368052</v>
      </c>
      <c r="F14" s="345"/>
      <c r="G14" s="345"/>
      <c r="H14" s="12">
        <v>6150042.4119368047</v>
      </c>
    </row>
    <row r="15" spans="1:8">
      <c r="A15" s="354" t="s">
        <v>152</v>
      </c>
      <c r="B15" s="12">
        <v>475547.2</v>
      </c>
      <c r="C15" s="12">
        <v>28197797.880000006</v>
      </c>
      <c r="D15" s="12"/>
      <c r="E15" s="12">
        <v>386100</v>
      </c>
      <c r="F15" s="12">
        <v>22079317.365215477</v>
      </c>
      <c r="G15" s="12"/>
      <c r="H15" s="12">
        <v>51138762.445215479</v>
      </c>
    </row>
    <row r="16" spans="1:8">
      <c r="A16" s="15" t="s">
        <v>16</v>
      </c>
      <c r="B16" s="12"/>
      <c r="C16" s="12"/>
      <c r="D16" s="345">
        <v>19378541.109999999</v>
      </c>
      <c r="E16" s="12"/>
      <c r="F16" s="12"/>
      <c r="G16" s="345">
        <v>17660381.25772208</v>
      </c>
      <c r="H16" s="12">
        <v>37038922.367722079</v>
      </c>
    </row>
    <row r="17" spans="1:8">
      <c r="A17" s="14" t="s">
        <v>573</v>
      </c>
      <c r="B17" s="12">
        <v>3290121.8809137191</v>
      </c>
      <c r="C17" s="12">
        <v>21114752.373942345</v>
      </c>
      <c r="D17" s="12">
        <v>66686729.260634951</v>
      </c>
      <c r="E17" s="12">
        <v>4165919.22</v>
      </c>
      <c r="F17" s="12">
        <v>23879596.449999999</v>
      </c>
      <c r="G17" s="12">
        <v>64555105.695287123</v>
      </c>
      <c r="H17" s="12">
        <v>183692224.88077813</v>
      </c>
    </row>
    <row r="18" spans="1:8">
      <c r="A18" s="15" t="s">
        <v>7</v>
      </c>
      <c r="B18" s="12">
        <v>48395.193386317136</v>
      </c>
      <c r="C18" s="12"/>
      <c r="D18" s="12">
        <v>49630909.976339996</v>
      </c>
      <c r="E18" s="12"/>
      <c r="F18" s="12"/>
      <c r="G18" s="12">
        <v>41599241.219999999</v>
      </c>
      <c r="H18" s="12">
        <v>91278546.389726311</v>
      </c>
    </row>
    <row r="19" spans="1:8">
      <c r="A19" s="420" t="s">
        <v>289</v>
      </c>
      <c r="B19" s="12"/>
      <c r="C19" s="12"/>
      <c r="D19" s="12">
        <v>20158704.969999999</v>
      </c>
      <c r="E19" s="12"/>
      <c r="F19" s="12"/>
      <c r="G19" s="12">
        <v>21600000</v>
      </c>
      <c r="H19" s="12">
        <v>41758704.969999999</v>
      </c>
    </row>
    <row r="20" spans="1:8">
      <c r="A20" s="348" t="s">
        <v>25</v>
      </c>
      <c r="B20" s="12"/>
      <c r="C20" s="12"/>
      <c r="D20" s="12">
        <v>2141996.09</v>
      </c>
      <c r="E20" s="12"/>
      <c r="F20" s="12"/>
      <c r="G20" s="12">
        <v>2293812</v>
      </c>
      <c r="H20" s="12">
        <v>4435808.09</v>
      </c>
    </row>
    <row r="21" spans="1:8">
      <c r="A21" s="348" t="s">
        <v>148</v>
      </c>
      <c r="B21" s="12">
        <v>36554</v>
      </c>
      <c r="C21" s="12"/>
      <c r="D21" s="12">
        <v>6891400.2800000003</v>
      </c>
      <c r="E21" s="12"/>
      <c r="F21" s="12"/>
      <c r="G21" s="12">
        <v>5895310</v>
      </c>
      <c r="H21" s="12">
        <v>12823264.280000001</v>
      </c>
    </row>
    <row r="22" spans="1:8">
      <c r="A22" s="348" t="s">
        <v>37</v>
      </c>
      <c r="B22" s="12">
        <v>1163.29</v>
      </c>
      <c r="C22" s="12"/>
      <c r="D22" s="12">
        <v>180911.85000000003</v>
      </c>
      <c r="E22" s="12"/>
      <c r="F22" s="12"/>
      <c r="G22" s="12">
        <v>161800</v>
      </c>
      <c r="H22" s="12">
        <v>343875.14</v>
      </c>
    </row>
    <row r="23" spans="1:8">
      <c r="A23" s="348" t="s">
        <v>20</v>
      </c>
      <c r="B23" s="12"/>
      <c r="C23" s="12"/>
      <c r="D23" s="12">
        <v>118356.78</v>
      </c>
      <c r="E23" s="12"/>
      <c r="F23" s="12"/>
      <c r="G23" s="12">
        <v>6480</v>
      </c>
      <c r="H23" s="12">
        <v>124836.78</v>
      </c>
    </row>
    <row r="24" spans="1:8">
      <c r="A24" s="348" t="s">
        <v>327</v>
      </c>
      <c r="B24" s="12"/>
      <c r="C24" s="12"/>
      <c r="D24" s="12">
        <v>415708.81999999995</v>
      </c>
      <c r="E24" s="12"/>
      <c r="F24" s="12"/>
      <c r="G24" s="12">
        <v>312000</v>
      </c>
      <c r="H24" s="12">
        <v>727708.82</v>
      </c>
    </row>
    <row r="25" spans="1:8">
      <c r="A25" s="348" t="s">
        <v>27</v>
      </c>
      <c r="B25" s="12">
        <v>76.819999999999993</v>
      </c>
      <c r="C25" s="12"/>
      <c r="D25" s="12">
        <v>138648.04999999999</v>
      </c>
      <c r="E25" s="12"/>
      <c r="F25" s="12"/>
      <c r="G25" s="12">
        <v>142400</v>
      </c>
      <c r="H25" s="12">
        <v>281124.87</v>
      </c>
    </row>
    <row r="26" spans="1:8">
      <c r="A26" s="348" t="s">
        <v>57</v>
      </c>
      <c r="B26" s="12"/>
      <c r="C26" s="12"/>
      <c r="D26" s="12">
        <v>148818.42000000001</v>
      </c>
      <c r="E26" s="12"/>
      <c r="F26" s="12"/>
      <c r="G26" s="12">
        <v>142500</v>
      </c>
      <c r="H26" s="12">
        <v>291318.42000000004</v>
      </c>
    </row>
    <row r="27" spans="1:8">
      <c r="A27" s="348" t="s">
        <v>22</v>
      </c>
      <c r="B27" s="12">
        <v>276</v>
      </c>
      <c r="C27" s="12"/>
      <c r="D27" s="12">
        <v>64751.3</v>
      </c>
      <c r="E27" s="12"/>
      <c r="F27" s="12"/>
      <c r="G27" s="12">
        <v>0</v>
      </c>
      <c r="H27" s="12">
        <v>65027.3</v>
      </c>
    </row>
    <row r="28" spans="1:8">
      <c r="A28" s="348" t="s">
        <v>54</v>
      </c>
      <c r="B28" s="12"/>
      <c r="C28" s="12"/>
      <c r="D28" s="12">
        <v>7498398.0199999996</v>
      </c>
      <c r="E28" s="12"/>
      <c r="F28" s="12"/>
      <c r="G28" s="12">
        <v>965000</v>
      </c>
      <c r="H28" s="12">
        <v>8463398.0199999996</v>
      </c>
    </row>
    <row r="29" spans="1:8">
      <c r="A29" s="348" t="s">
        <v>149</v>
      </c>
      <c r="B29" s="12">
        <v>3568.0733863171317</v>
      </c>
      <c r="C29" s="12"/>
      <c r="D29" s="12">
        <v>3156571.6463399823</v>
      </c>
      <c r="E29" s="12"/>
      <c r="F29" s="12"/>
      <c r="G29" s="12">
        <v>3015616.22</v>
      </c>
      <c r="H29" s="12">
        <v>6175755.9397262996</v>
      </c>
    </row>
    <row r="30" spans="1:8">
      <c r="A30" s="348" t="s">
        <v>18</v>
      </c>
      <c r="B30" s="12"/>
      <c r="C30" s="12"/>
      <c r="D30" s="12">
        <v>938877.11</v>
      </c>
      <c r="E30" s="12"/>
      <c r="F30" s="12"/>
      <c r="G30" s="12">
        <v>656400</v>
      </c>
      <c r="H30" s="12">
        <v>1595277.1099999999</v>
      </c>
    </row>
    <row r="31" spans="1:8">
      <c r="A31" s="348" t="s">
        <v>138</v>
      </c>
      <c r="B31" s="12">
        <v>6075.58</v>
      </c>
      <c r="C31" s="12"/>
      <c r="D31" s="12">
        <v>35299.199999999997</v>
      </c>
      <c r="E31" s="12"/>
      <c r="F31" s="12"/>
      <c r="G31" s="12">
        <v>48000</v>
      </c>
      <c r="H31" s="12">
        <v>89374.78</v>
      </c>
    </row>
    <row r="32" spans="1:8">
      <c r="A32" s="348" t="s">
        <v>45</v>
      </c>
      <c r="B32" s="12"/>
      <c r="C32" s="12"/>
      <c r="D32" s="12">
        <v>59008.869999999995</v>
      </c>
      <c r="E32" s="12"/>
      <c r="F32" s="12"/>
      <c r="G32" s="12"/>
      <c r="H32" s="12">
        <v>59008.869999999995</v>
      </c>
    </row>
    <row r="33" spans="1:8">
      <c r="A33" s="348" t="s">
        <v>9</v>
      </c>
      <c r="B33" s="12"/>
      <c r="C33" s="12"/>
      <c r="D33" s="12">
        <v>288274.43</v>
      </c>
      <c r="E33" s="12"/>
      <c r="F33" s="12"/>
      <c r="G33" s="12">
        <v>0</v>
      </c>
      <c r="H33" s="12">
        <v>288274.43</v>
      </c>
    </row>
    <row r="34" spans="1:8">
      <c r="A34" s="348" t="s">
        <v>29</v>
      </c>
      <c r="B34" s="12"/>
      <c r="C34" s="12"/>
      <c r="D34" s="12">
        <v>900337.2</v>
      </c>
      <c r="E34" s="12"/>
      <c r="F34" s="12"/>
      <c r="G34" s="12">
        <v>647640</v>
      </c>
      <c r="H34" s="12">
        <v>1547977.2</v>
      </c>
    </row>
    <row r="35" spans="1:8">
      <c r="A35" s="348" t="s">
        <v>89</v>
      </c>
      <c r="B35" s="12"/>
      <c r="C35" s="12"/>
      <c r="D35" s="12">
        <v>477274.12999999995</v>
      </c>
      <c r="E35" s="12"/>
      <c r="F35" s="12"/>
      <c r="G35" s="12"/>
      <c r="H35" s="12">
        <v>477274.12999999995</v>
      </c>
    </row>
    <row r="36" spans="1:8">
      <c r="A36" s="348" t="s">
        <v>12</v>
      </c>
      <c r="B36" s="12">
        <v>681.43000000000006</v>
      </c>
      <c r="C36" s="12"/>
      <c r="D36" s="12">
        <v>429921.60999999993</v>
      </c>
      <c r="E36" s="12"/>
      <c r="F36" s="12"/>
      <c r="G36" s="12">
        <v>431112</v>
      </c>
      <c r="H36" s="12">
        <v>861715.03999999992</v>
      </c>
    </row>
    <row r="37" spans="1:8">
      <c r="A37" s="420" t="s">
        <v>329</v>
      </c>
      <c r="B37" s="12"/>
      <c r="C37" s="12"/>
      <c r="D37" s="12">
        <v>5585651.2000000002</v>
      </c>
      <c r="E37" s="12"/>
      <c r="F37" s="12"/>
      <c r="G37" s="12">
        <v>5281171</v>
      </c>
      <c r="H37" s="12">
        <v>10866822.199999999</v>
      </c>
    </row>
    <row r="38" spans="1:8">
      <c r="A38" s="348" t="s">
        <v>583</v>
      </c>
      <c r="B38" s="12"/>
      <c r="C38" s="12"/>
      <c r="D38" s="12">
        <v>2000</v>
      </c>
      <c r="E38" s="12"/>
      <c r="F38" s="12"/>
      <c r="G38" s="12"/>
      <c r="H38" s="12">
        <v>2000</v>
      </c>
    </row>
    <row r="39" spans="1:8">
      <c r="A39" s="15" t="s">
        <v>92</v>
      </c>
      <c r="B39" s="12"/>
      <c r="C39" s="12">
        <v>6888241.3626612853</v>
      </c>
      <c r="D39" s="12">
        <v>7144941.46519503</v>
      </c>
      <c r="E39" s="12"/>
      <c r="F39" s="12"/>
      <c r="G39" s="12">
        <v>11925209.37528713</v>
      </c>
      <c r="H39" s="12">
        <v>25958392.203143448</v>
      </c>
    </row>
    <row r="40" spans="1:8">
      <c r="A40" s="15" t="s">
        <v>32</v>
      </c>
      <c r="B40" s="12">
        <v>3241726.6875274018</v>
      </c>
      <c r="C40" s="12">
        <v>14226511.01128106</v>
      </c>
      <c r="D40" s="12">
        <v>416384.53666690463</v>
      </c>
      <c r="E40" s="12">
        <v>4165919.22</v>
      </c>
      <c r="F40" s="12">
        <v>23879596.449999999</v>
      </c>
      <c r="G40" s="12">
        <v>300579.12</v>
      </c>
      <c r="H40" s="12">
        <v>46230717.025475368</v>
      </c>
    </row>
    <row r="41" spans="1:8">
      <c r="A41" s="348" t="s">
        <v>25</v>
      </c>
      <c r="B41" s="12"/>
      <c r="C41" s="12">
        <v>161475.44</v>
      </c>
      <c r="D41" s="12">
        <v>5000</v>
      </c>
      <c r="E41" s="12"/>
      <c r="F41" s="12">
        <v>185064</v>
      </c>
      <c r="G41" s="12"/>
      <c r="H41" s="12">
        <v>351539.44</v>
      </c>
    </row>
    <row r="42" spans="1:8">
      <c r="A42" s="348" t="s">
        <v>148</v>
      </c>
      <c r="B42" s="12">
        <v>1984921.73</v>
      </c>
      <c r="C42" s="12">
        <v>6507234.4900000002</v>
      </c>
      <c r="D42" s="12">
        <v>94842.33</v>
      </c>
      <c r="E42" s="12">
        <v>2320260</v>
      </c>
      <c r="F42" s="12">
        <v>7088920</v>
      </c>
      <c r="G42" s="12">
        <v>256752</v>
      </c>
      <c r="H42" s="12">
        <v>18252930.550000001</v>
      </c>
    </row>
    <row r="43" spans="1:8">
      <c r="A43" s="348" t="s">
        <v>37</v>
      </c>
      <c r="B43" s="12">
        <v>190339.74000000002</v>
      </c>
      <c r="C43" s="12">
        <v>116725.04</v>
      </c>
      <c r="D43" s="12">
        <v>6076.04</v>
      </c>
      <c r="E43" s="12">
        <v>241800</v>
      </c>
      <c r="F43" s="12">
        <v>144000</v>
      </c>
      <c r="G43" s="12">
        <v>19590</v>
      </c>
      <c r="H43" s="12">
        <v>718530.82000000007</v>
      </c>
    </row>
    <row r="44" spans="1:8">
      <c r="A44" s="348" t="s">
        <v>27</v>
      </c>
      <c r="B44" s="12">
        <v>1922.8200000000002</v>
      </c>
      <c r="C44" s="12">
        <v>21384.960000000003</v>
      </c>
      <c r="D44" s="12">
        <v>340.31</v>
      </c>
      <c r="E44" s="12"/>
      <c r="F44" s="12">
        <v>27600</v>
      </c>
      <c r="G44" s="12">
        <v>1200</v>
      </c>
      <c r="H44" s="12">
        <v>52448.090000000004</v>
      </c>
    </row>
    <row r="45" spans="1:8">
      <c r="A45" s="348" t="s">
        <v>22</v>
      </c>
      <c r="B45" s="12">
        <v>200</v>
      </c>
      <c r="C45" s="12"/>
      <c r="D45" s="12"/>
      <c r="E45" s="12"/>
      <c r="F45" s="12"/>
      <c r="G45" s="12"/>
      <c r="H45" s="12">
        <v>200</v>
      </c>
    </row>
    <row r="46" spans="1:8">
      <c r="A46" s="348" t="s">
        <v>54</v>
      </c>
      <c r="B46" s="12">
        <v>11037.83</v>
      </c>
      <c r="C46" s="12">
        <v>20907.940000000002</v>
      </c>
      <c r="D46" s="12">
        <v>4621.68</v>
      </c>
      <c r="E46" s="12"/>
      <c r="F46" s="12">
        <v>0</v>
      </c>
      <c r="G46" s="12"/>
      <c r="H46" s="12">
        <v>36567.450000000004</v>
      </c>
    </row>
    <row r="47" spans="1:8">
      <c r="A47" s="348" t="s">
        <v>149</v>
      </c>
      <c r="B47" s="12">
        <v>119116.57752740191</v>
      </c>
      <c r="C47" s="12">
        <v>606694.51128105784</v>
      </c>
      <c r="D47" s="12">
        <v>2281.3366669046054</v>
      </c>
      <c r="E47" s="12">
        <v>124144.01999999999</v>
      </c>
      <c r="F47" s="12">
        <v>666528.44999999995</v>
      </c>
      <c r="G47" s="12">
        <v>14277.119999999995</v>
      </c>
      <c r="H47" s="12">
        <v>1533042.0154753644</v>
      </c>
    </row>
    <row r="48" spans="1:8">
      <c r="A48" s="348" t="s">
        <v>18</v>
      </c>
      <c r="B48" s="12">
        <v>540066.27</v>
      </c>
      <c r="C48" s="12">
        <v>705937.02999999991</v>
      </c>
      <c r="D48" s="12">
        <v>11290.8</v>
      </c>
      <c r="E48" s="12">
        <v>641708.60000000009</v>
      </c>
      <c r="F48" s="12">
        <v>912891</v>
      </c>
      <c r="G48" s="12">
        <v>0</v>
      </c>
      <c r="H48" s="12">
        <v>2811893.7</v>
      </c>
    </row>
    <row r="49" spans="1:8">
      <c r="A49" s="348" t="s">
        <v>138</v>
      </c>
      <c r="B49" s="12"/>
      <c r="C49" s="12"/>
      <c r="D49" s="12">
        <v>4053.96</v>
      </c>
      <c r="E49" s="12"/>
      <c r="F49" s="12"/>
      <c r="G49" s="12"/>
      <c r="H49" s="12">
        <v>4053.96</v>
      </c>
    </row>
    <row r="50" spans="1:8">
      <c r="A50" s="354" t="s">
        <v>9</v>
      </c>
      <c r="B50" s="12"/>
      <c r="C50" s="12">
        <v>5679697.4400000004</v>
      </c>
      <c r="D50" s="12">
        <v>102931.18000000001</v>
      </c>
      <c r="E50" s="12"/>
      <c r="F50" s="12">
        <v>14701613</v>
      </c>
      <c r="G50" s="12"/>
      <c r="H50" s="12">
        <v>20484241.620000001</v>
      </c>
    </row>
    <row r="51" spans="1:8">
      <c r="A51" s="348" t="s">
        <v>29</v>
      </c>
      <c r="B51" s="12">
        <v>117463.67</v>
      </c>
      <c r="C51" s="12">
        <v>222910.77000000002</v>
      </c>
      <c r="D51" s="12">
        <v>648</v>
      </c>
      <c r="E51" s="12">
        <v>12000</v>
      </c>
      <c r="F51" s="12">
        <v>15000</v>
      </c>
      <c r="G51" s="12"/>
      <c r="H51" s="12">
        <v>368022.44</v>
      </c>
    </row>
    <row r="52" spans="1:8">
      <c r="A52" s="354" t="s">
        <v>89</v>
      </c>
      <c r="B52" s="345">
        <v>210167.4</v>
      </c>
      <c r="C52" s="345"/>
      <c r="D52" s="345">
        <v>172538.84</v>
      </c>
      <c r="E52" s="345">
        <v>736601</v>
      </c>
      <c r="F52" s="345"/>
      <c r="G52" s="345"/>
      <c r="H52" s="12">
        <v>1119307.24</v>
      </c>
    </row>
    <row r="53" spans="1:8">
      <c r="A53" s="348" t="s">
        <v>12</v>
      </c>
      <c r="B53" s="12">
        <v>66490.649999999994</v>
      </c>
      <c r="C53" s="12">
        <v>183543.38999999996</v>
      </c>
      <c r="D53" s="12">
        <v>11760.060000000001</v>
      </c>
      <c r="E53" s="12">
        <v>89405.6</v>
      </c>
      <c r="F53" s="12">
        <v>137980</v>
      </c>
      <c r="G53" s="12">
        <v>8760</v>
      </c>
      <c r="H53" s="12">
        <v>497939.69999999995</v>
      </c>
    </row>
    <row r="54" spans="1:8">
      <c r="A54" s="15" t="s">
        <v>16</v>
      </c>
      <c r="B54" s="12"/>
      <c r="C54" s="12"/>
      <c r="D54" s="12">
        <v>9494493.2824330162</v>
      </c>
      <c r="E54" s="12"/>
      <c r="F54" s="12"/>
      <c r="G54" s="12">
        <v>10730075.98</v>
      </c>
      <c r="H54" s="12">
        <v>20224569.262433015</v>
      </c>
    </row>
    <row r="55" spans="1:8">
      <c r="A55" s="14" t="s">
        <v>447</v>
      </c>
      <c r="B55" s="12"/>
      <c r="C55" s="12"/>
      <c r="D55" s="12">
        <v>20043735.974942286</v>
      </c>
      <c r="E55" s="12"/>
      <c r="F55" s="12"/>
      <c r="G55" s="12">
        <v>5246629.2940265639</v>
      </c>
      <c r="H55" s="12">
        <v>25290365.26896885</v>
      </c>
    </row>
    <row r="56" spans="1:8">
      <c r="A56" s="14" t="s">
        <v>293</v>
      </c>
      <c r="B56" s="12"/>
      <c r="C56" s="12"/>
      <c r="D56" s="12">
        <v>18218951.556768112</v>
      </c>
      <c r="E56" s="12"/>
      <c r="F56" s="12"/>
      <c r="G56" s="12">
        <v>9322287.3971595485</v>
      </c>
      <c r="H56" s="12">
        <v>27541238.953927658</v>
      </c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1656"/>
  <sheetViews>
    <sheetView topLeftCell="D1" zoomScale="90" zoomScaleNormal="90" workbookViewId="0">
      <pane ySplit="1" topLeftCell="A636" activePane="bottomLeft" state="frozen"/>
      <selection activeCell="D653" sqref="A653:XFD657"/>
      <selection pane="bottomLeft" activeCell="D653" sqref="A653:XFD657"/>
    </sheetView>
  </sheetViews>
  <sheetFormatPr defaultRowHeight="12.75" outlineLevelCol="1"/>
  <cols>
    <col min="1" max="2" width="9.140625" style="2"/>
    <col min="3" max="3" width="22.140625" style="2" customWidth="1"/>
    <col min="4" max="5" width="21.42578125" style="2" customWidth="1"/>
    <col min="6" max="6" width="35.42578125" style="2" customWidth="1"/>
    <col min="7" max="7" width="14" style="2" bestFit="1" customWidth="1"/>
    <col min="8" max="8" width="16.7109375" style="2" customWidth="1"/>
    <col min="9" max="9" width="9" style="2" customWidth="1"/>
    <col min="10" max="10" width="26.140625" style="2" customWidth="1"/>
    <col min="11" max="11" width="3.85546875" style="2" customWidth="1"/>
    <col min="12" max="12" width="4.42578125" style="2" customWidth="1"/>
    <col min="13" max="13" width="9.85546875" style="3" customWidth="1" outlineLevel="1"/>
    <col min="14" max="20" width="11" style="3" bestFit="1" customWidth="1" outlineLevel="1"/>
    <col min="21" max="21" width="11.140625" style="3" bestFit="1" customWidth="1" outlineLevel="1"/>
    <col min="22" max="22" width="11" style="3" bestFit="1" customWidth="1" outlineLevel="1"/>
    <col min="23" max="23" width="9.85546875" style="3" customWidth="1" outlineLevel="1"/>
    <col min="24" max="24" width="11" style="3" bestFit="1" customWidth="1" outlineLevel="1"/>
    <col min="25" max="25" width="11.85546875" style="3" customWidth="1"/>
    <col min="26" max="16384" width="9.140625" style="2"/>
  </cols>
  <sheetData>
    <row r="1" spans="1:25" s="9" customFormat="1" ht="11.25">
      <c r="A1" s="8" t="s">
        <v>577</v>
      </c>
      <c r="B1" s="8" t="s">
        <v>572</v>
      </c>
      <c r="C1" s="8" t="s">
        <v>0</v>
      </c>
      <c r="D1" s="4" t="s">
        <v>435</v>
      </c>
      <c r="E1" s="4" t="s">
        <v>436</v>
      </c>
      <c r="F1" s="8" t="s">
        <v>1</v>
      </c>
      <c r="G1" s="1" t="s">
        <v>437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167" t="s">
        <v>409</v>
      </c>
      <c r="N1" s="167" t="s">
        <v>398</v>
      </c>
      <c r="O1" s="167" t="s">
        <v>399</v>
      </c>
      <c r="P1" s="167" t="s">
        <v>400</v>
      </c>
      <c r="Q1" s="167" t="s">
        <v>401</v>
      </c>
      <c r="R1" s="167" t="s">
        <v>402</v>
      </c>
      <c r="S1" s="167" t="s">
        <v>403</v>
      </c>
      <c r="T1" s="167" t="s">
        <v>404</v>
      </c>
      <c r="U1" s="167" t="s">
        <v>405</v>
      </c>
      <c r="V1" s="167" t="s">
        <v>406</v>
      </c>
      <c r="W1" s="167" t="s">
        <v>407</v>
      </c>
      <c r="X1" s="167" t="s">
        <v>408</v>
      </c>
      <c r="Y1" s="167" t="s">
        <v>434</v>
      </c>
    </row>
    <row r="2" spans="1:25" s="9" customFormat="1" ht="11.25" customHeight="1">
      <c r="A2" s="9">
        <v>2014</v>
      </c>
      <c r="B2" s="9" t="s">
        <v>573</v>
      </c>
      <c r="C2" s="9" t="s">
        <v>7</v>
      </c>
      <c r="D2" s="9" t="s">
        <v>7</v>
      </c>
      <c r="E2" s="9" t="s">
        <v>148</v>
      </c>
      <c r="F2" s="9" t="s">
        <v>78</v>
      </c>
      <c r="G2" s="9" t="s">
        <v>439</v>
      </c>
      <c r="H2" s="9" t="s">
        <v>148</v>
      </c>
      <c r="I2" s="9" t="s">
        <v>148</v>
      </c>
      <c r="J2" s="9" t="s">
        <v>148</v>
      </c>
      <c r="M2" s="10">
        <v>10506</v>
      </c>
      <c r="N2" s="10">
        <v>10506</v>
      </c>
      <c r="O2" s="10">
        <v>10506</v>
      </c>
      <c r="P2" s="10">
        <v>10506</v>
      </c>
      <c r="Q2" s="10">
        <v>10506</v>
      </c>
      <c r="R2" s="10">
        <v>10506</v>
      </c>
      <c r="S2" s="10">
        <v>10506</v>
      </c>
      <c r="T2" s="10">
        <v>10506</v>
      </c>
      <c r="U2" s="10">
        <v>10506</v>
      </c>
      <c r="V2" s="10">
        <v>10506</v>
      </c>
      <c r="W2" s="10">
        <v>10506</v>
      </c>
      <c r="X2" s="10">
        <v>10506</v>
      </c>
      <c r="Y2" s="10">
        <f t="shared" ref="Y2:Y65" si="0">SUM(M2:X2)</f>
        <v>126072</v>
      </c>
    </row>
    <row r="3" spans="1:25" s="9" customFormat="1" ht="11.25" customHeight="1">
      <c r="A3" s="9">
        <v>2014</v>
      </c>
      <c r="B3" s="9" t="s">
        <v>573</v>
      </c>
      <c r="C3" s="9" t="s">
        <v>7</v>
      </c>
      <c r="D3" s="9" t="s">
        <v>7</v>
      </c>
      <c r="E3" s="9" t="s">
        <v>37</v>
      </c>
      <c r="F3" s="9" t="s">
        <v>78</v>
      </c>
      <c r="G3" s="9" t="s">
        <v>439</v>
      </c>
      <c r="H3" s="9" t="s">
        <v>37</v>
      </c>
      <c r="I3" s="9" t="s">
        <v>37</v>
      </c>
      <c r="J3" s="9" t="s">
        <v>37</v>
      </c>
      <c r="M3" s="10">
        <v>10000</v>
      </c>
      <c r="N3" s="10">
        <v>5000</v>
      </c>
      <c r="O3" s="10">
        <v>5000</v>
      </c>
      <c r="P3" s="10">
        <v>1000</v>
      </c>
      <c r="Q3" s="10">
        <v>1000</v>
      </c>
      <c r="R3" s="10">
        <v>1000</v>
      </c>
      <c r="S3" s="10">
        <v>1000</v>
      </c>
      <c r="T3" s="10">
        <v>1000</v>
      </c>
      <c r="U3" s="10">
        <v>1000</v>
      </c>
      <c r="V3" s="10">
        <v>1000</v>
      </c>
      <c r="W3" s="10">
        <v>1000</v>
      </c>
      <c r="X3" s="10">
        <v>1000</v>
      </c>
      <c r="Y3" s="10">
        <f t="shared" si="0"/>
        <v>29000</v>
      </c>
    </row>
    <row r="4" spans="1:25" s="9" customFormat="1" ht="11.25" customHeight="1">
      <c r="A4" s="9">
        <v>2014</v>
      </c>
      <c r="B4" s="9" t="s">
        <v>573</v>
      </c>
      <c r="C4" s="9" t="s">
        <v>7</v>
      </c>
      <c r="D4" s="9" t="s">
        <v>54</v>
      </c>
      <c r="E4" s="9" t="s">
        <v>412</v>
      </c>
      <c r="F4" s="9" t="s">
        <v>78</v>
      </c>
      <c r="G4" s="9" t="s">
        <v>439</v>
      </c>
      <c r="H4" s="9" t="s">
        <v>54</v>
      </c>
      <c r="I4" s="9" t="s">
        <v>412</v>
      </c>
      <c r="J4" s="9" t="s">
        <v>421</v>
      </c>
      <c r="M4" s="10"/>
      <c r="N4" s="10"/>
      <c r="O4" s="10">
        <v>4514</v>
      </c>
      <c r="P4" s="10">
        <v>6300</v>
      </c>
      <c r="Q4" s="10">
        <v>3611</v>
      </c>
      <c r="R4" s="10">
        <v>22393</v>
      </c>
      <c r="S4" s="10"/>
      <c r="T4" s="10">
        <v>9686</v>
      </c>
      <c r="U4" s="10"/>
      <c r="V4" s="10">
        <v>15715</v>
      </c>
      <c r="W4" s="10"/>
      <c r="X4" s="10">
        <v>28793</v>
      </c>
      <c r="Y4" s="10"/>
    </row>
    <row r="5" spans="1:25" s="9" customFormat="1" ht="11.25" customHeight="1">
      <c r="A5" s="9">
        <v>2014</v>
      </c>
      <c r="B5" s="9" t="s">
        <v>573</v>
      </c>
      <c r="C5" s="9" t="s">
        <v>7</v>
      </c>
      <c r="D5" s="9" t="s">
        <v>54</v>
      </c>
      <c r="E5" s="9" t="s">
        <v>412</v>
      </c>
      <c r="F5" s="9" t="s">
        <v>78</v>
      </c>
      <c r="G5" s="9" t="s">
        <v>439</v>
      </c>
      <c r="H5" s="9" t="s">
        <v>54</v>
      </c>
      <c r="I5" s="9" t="s">
        <v>412</v>
      </c>
      <c r="J5" s="9" t="s">
        <v>427</v>
      </c>
      <c r="M5" s="10"/>
      <c r="N5" s="10"/>
      <c r="O5" s="10"/>
      <c r="P5" s="10">
        <v>15000</v>
      </c>
      <c r="Q5" s="10"/>
      <c r="R5" s="10">
        <v>122662</v>
      </c>
      <c r="S5" s="10"/>
      <c r="T5" s="10">
        <v>152662</v>
      </c>
      <c r="U5" s="10"/>
      <c r="V5" s="10"/>
      <c r="W5" s="10"/>
      <c r="X5" s="10"/>
      <c r="Y5" s="10">
        <v>110000</v>
      </c>
    </row>
    <row r="6" spans="1:25" s="9" customFormat="1" ht="11.25" customHeight="1">
      <c r="A6" s="9">
        <v>2014</v>
      </c>
      <c r="B6" s="9" t="s">
        <v>573</v>
      </c>
      <c r="C6" s="9" t="s">
        <v>7</v>
      </c>
      <c r="D6" s="9" t="s">
        <v>54</v>
      </c>
      <c r="E6" s="9" t="s">
        <v>79</v>
      </c>
      <c r="F6" s="9" t="s">
        <v>78</v>
      </c>
      <c r="G6" s="9" t="s">
        <v>439</v>
      </c>
      <c r="H6" s="9" t="s">
        <v>54</v>
      </c>
      <c r="I6" s="9" t="s">
        <v>79</v>
      </c>
      <c r="J6" s="9" t="s">
        <v>87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9" customFormat="1" ht="11.25" customHeight="1">
      <c r="A7" s="9">
        <v>2014</v>
      </c>
      <c r="B7" s="9" t="s">
        <v>573</v>
      </c>
      <c r="C7" s="9" t="s">
        <v>7</v>
      </c>
      <c r="D7" s="9" t="s">
        <v>54</v>
      </c>
      <c r="E7" s="9" t="s">
        <v>79</v>
      </c>
      <c r="F7" s="9" t="s">
        <v>78</v>
      </c>
      <c r="G7" s="9" t="s">
        <v>439</v>
      </c>
      <c r="H7" s="9" t="s">
        <v>54</v>
      </c>
      <c r="I7" s="9" t="s">
        <v>79</v>
      </c>
      <c r="J7" s="9" t="s">
        <v>428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s="9" customFormat="1" ht="11.25" customHeight="1">
      <c r="A8" s="9">
        <v>2014</v>
      </c>
      <c r="B8" s="9" t="s">
        <v>573</v>
      </c>
      <c r="C8" s="9" t="s">
        <v>7</v>
      </c>
      <c r="D8" s="9" t="s">
        <v>54</v>
      </c>
      <c r="E8" s="9" t="s">
        <v>79</v>
      </c>
      <c r="F8" s="9" t="s">
        <v>78</v>
      </c>
      <c r="G8" s="9" t="s">
        <v>439</v>
      </c>
      <c r="H8" s="9" t="s">
        <v>54</v>
      </c>
      <c r="I8" s="9" t="s">
        <v>79</v>
      </c>
      <c r="J8" s="9" t="s">
        <v>80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s="9" customFormat="1" ht="11.25" customHeight="1">
      <c r="A9" s="9">
        <v>2014</v>
      </c>
      <c r="B9" s="9" t="s">
        <v>573</v>
      </c>
      <c r="C9" s="9" t="s">
        <v>7</v>
      </c>
      <c r="D9" s="9" t="s">
        <v>54</v>
      </c>
      <c r="E9" s="9" t="s">
        <v>79</v>
      </c>
      <c r="F9" s="9" t="s">
        <v>78</v>
      </c>
      <c r="G9" s="9" t="s">
        <v>439</v>
      </c>
      <c r="H9" s="9" t="s">
        <v>54</v>
      </c>
      <c r="I9" s="9" t="s">
        <v>79</v>
      </c>
      <c r="J9" s="9" t="s">
        <v>433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s="9" customFormat="1" ht="11.25" customHeight="1">
      <c r="A10" s="9">
        <v>2014</v>
      </c>
      <c r="B10" s="9" t="s">
        <v>573</v>
      </c>
      <c r="C10" s="9" t="s">
        <v>7</v>
      </c>
      <c r="D10" s="9" t="s">
        <v>54</v>
      </c>
      <c r="E10" s="9" t="s">
        <v>79</v>
      </c>
      <c r="F10" s="9" t="s">
        <v>78</v>
      </c>
      <c r="G10" s="9" t="s">
        <v>439</v>
      </c>
      <c r="H10" s="9" t="s">
        <v>54</v>
      </c>
      <c r="I10" s="9" t="s">
        <v>79</v>
      </c>
      <c r="J10" s="9" t="s">
        <v>423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s="9" customFormat="1" ht="11.25" customHeight="1">
      <c r="A11" s="9">
        <v>2014</v>
      </c>
      <c r="B11" s="9" t="s">
        <v>573</v>
      </c>
      <c r="C11" s="9" t="s">
        <v>7</v>
      </c>
      <c r="D11" s="9" t="s">
        <v>54</v>
      </c>
      <c r="E11" s="9" t="s">
        <v>79</v>
      </c>
      <c r="F11" s="9" t="s">
        <v>78</v>
      </c>
      <c r="G11" s="9" t="s">
        <v>439</v>
      </c>
      <c r="H11" s="9" t="s">
        <v>54</v>
      </c>
      <c r="I11" s="9" t="s">
        <v>79</v>
      </c>
      <c r="J11" s="9" t="s">
        <v>422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s="9" customFormat="1" ht="11.25" customHeight="1">
      <c r="A12" s="9">
        <v>2014</v>
      </c>
      <c r="B12" s="9" t="s">
        <v>573</v>
      </c>
      <c r="C12" s="9" t="s">
        <v>7</v>
      </c>
      <c r="D12" s="9" t="s">
        <v>54</v>
      </c>
      <c r="E12" s="9" t="s">
        <v>55</v>
      </c>
      <c r="F12" s="9" t="s">
        <v>78</v>
      </c>
      <c r="G12" s="9" t="s">
        <v>439</v>
      </c>
      <c r="H12" s="9" t="s">
        <v>54</v>
      </c>
      <c r="I12" s="9" t="s">
        <v>55</v>
      </c>
      <c r="J12" s="9" t="s">
        <v>56</v>
      </c>
      <c r="M12" s="10">
        <v>2500</v>
      </c>
      <c r="N12" s="10">
        <v>2500</v>
      </c>
      <c r="O12" s="10">
        <v>2500</v>
      </c>
      <c r="P12" s="10">
        <v>1500</v>
      </c>
      <c r="Q12" s="10">
        <v>1500</v>
      </c>
      <c r="R12" s="10">
        <v>1500</v>
      </c>
      <c r="S12" s="10">
        <v>1500</v>
      </c>
      <c r="T12" s="10">
        <v>1500</v>
      </c>
      <c r="U12" s="10">
        <v>1500</v>
      </c>
      <c r="V12" s="10">
        <v>1500</v>
      </c>
      <c r="W12" s="10">
        <v>1500</v>
      </c>
      <c r="X12" s="10">
        <v>1500</v>
      </c>
      <c r="Y12" s="10">
        <f t="shared" si="0"/>
        <v>21000</v>
      </c>
    </row>
    <row r="13" spans="1:25" s="9" customFormat="1" ht="11.25" customHeight="1">
      <c r="A13" s="9">
        <v>2014</v>
      </c>
      <c r="B13" s="9" t="s">
        <v>573</v>
      </c>
      <c r="C13" s="9" t="s">
        <v>7</v>
      </c>
      <c r="D13" s="9" t="s">
        <v>54</v>
      </c>
      <c r="E13" s="9" t="s">
        <v>55</v>
      </c>
      <c r="F13" s="9" t="s">
        <v>78</v>
      </c>
      <c r="G13" s="9" t="s">
        <v>439</v>
      </c>
      <c r="H13" s="9" t="s">
        <v>54</v>
      </c>
      <c r="I13" s="9" t="s">
        <v>55</v>
      </c>
      <c r="J13" s="9" t="s">
        <v>203</v>
      </c>
      <c r="M13" s="10">
        <v>500</v>
      </c>
      <c r="N13" s="10">
        <f>102000-35500</f>
        <v>66500</v>
      </c>
      <c r="O13" s="10">
        <v>3000</v>
      </c>
      <c r="P13" s="10">
        <v>2000</v>
      </c>
      <c r="Q13" s="10"/>
      <c r="R13" s="10">
        <v>2000</v>
      </c>
      <c r="S13" s="10"/>
      <c r="T13" s="10">
        <v>2000</v>
      </c>
      <c r="U13" s="10"/>
      <c r="V13" s="10">
        <v>2000</v>
      </c>
      <c r="W13" s="10"/>
      <c r="X13" s="10">
        <v>2000</v>
      </c>
      <c r="Y13" s="10">
        <f t="shared" si="0"/>
        <v>80000</v>
      </c>
    </row>
    <row r="14" spans="1:25" s="9" customFormat="1" ht="11.25" customHeight="1">
      <c r="A14" s="9">
        <v>2014</v>
      </c>
      <c r="B14" s="9" t="s">
        <v>573</v>
      </c>
      <c r="C14" s="9" t="s">
        <v>7</v>
      </c>
      <c r="D14" s="9" t="s">
        <v>7</v>
      </c>
      <c r="E14" s="9" t="s">
        <v>149</v>
      </c>
      <c r="F14" s="9" t="s">
        <v>78</v>
      </c>
      <c r="G14" s="9" t="s">
        <v>439</v>
      </c>
      <c r="H14" s="9" t="s">
        <v>149</v>
      </c>
      <c r="I14" s="9" t="s">
        <v>149</v>
      </c>
      <c r="J14" s="9" t="s">
        <v>150</v>
      </c>
      <c r="M14" s="10">
        <v>594.88</v>
      </c>
      <c r="N14" s="10">
        <v>594.88</v>
      </c>
      <c r="O14" s="10">
        <v>594.88</v>
      </c>
      <c r="P14" s="10">
        <v>594.88</v>
      </c>
      <c r="Q14" s="10">
        <v>594.88</v>
      </c>
      <c r="R14" s="10">
        <v>594.88</v>
      </c>
      <c r="S14" s="10">
        <v>594.88</v>
      </c>
      <c r="T14" s="10">
        <v>594.88</v>
      </c>
      <c r="U14" s="10">
        <v>594.88</v>
      </c>
      <c r="V14" s="10">
        <v>594.88</v>
      </c>
      <c r="W14" s="10">
        <v>594.88</v>
      </c>
      <c r="X14" s="10">
        <v>594.88</v>
      </c>
      <c r="Y14" s="10">
        <f t="shared" si="0"/>
        <v>7138.56</v>
      </c>
    </row>
    <row r="15" spans="1:25" s="9" customFormat="1" ht="11.25" customHeight="1">
      <c r="A15" s="9">
        <v>2014</v>
      </c>
      <c r="B15" s="9" t="s">
        <v>573</v>
      </c>
      <c r="C15" s="9" t="s">
        <v>7</v>
      </c>
      <c r="D15" s="9" t="s">
        <v>7</v>
      </c>
      <c r="E15" s="9" t="s">
        <v>12</v>
      </c>
      <c r="F15" s="9" t="s">
        <v>78</v>
      </c>
      <c r="G15" s="9" t="s">
        <v>439</v>
      </c>
      <c r="H15" s="9" t="s">
        <v>12</v>
      </c>
      <c r="I15" s="9" t="s">
        <v>12</v>
      </c>
      <c r="J15" s="9" t="s">
        <v>13</v>
      </c>
      <c r="K15" s="9" t="s">
        <v>414</v>
      </c>
      <c r="M15" s="10"/>
      <c r="N15" s="10">
        <v>380</v>
      </c>
      <c r="O15" s="10">
        <v>380</v>
      </c>
      <c r="P15" s="10">
        <v>380</v>
      </c>
      <c r="Q15" s="10">
        <v>380</v>
      </c>
      <c r="R15" s="10">
        <v>380</v>
      </c>
      <c r="S15" s="10">
        <v>380</v>
      </c>
      <c r="T15" s="10">
        <v>380</v>
      </c>
      <c r="U15" s="10">
        <v>380</v>
      </c>
      <c r="V15" s="10">
        <v>380</v>
      </c>
      <c r="W15" s="10">
        <v>380</v>
      </c>
      <c r="X15" s="10">
        <v>380</v>
      </c>
      <c r="Y15" s="10">
        <f t="shared" si="0"/>
        <v>4180</v>
      </c>
    </row>
    <row r="16" spans="1:25" s="9" customFormat="1" ht="11.25" customHeight="1">
      <c r="A16" s="9">
        <v>2014</v>
      </c>
      <c r="B16" s="9" t="s">
        <v>573</v>
      </c>
      <c r="C16" s="9" t="s">
        <v>7</v>
      </c>
      <c r="D16" s="9" t="s">
        <v>7</v>
      </c>
      <c r="E16" s="9" t="s">
        <v>12</v>
      </c>
      <c r="F16" s="9" t="s">
        <v>78</v>
      </c>
      <c r="G16" s="9" t="s">
        <v>439</v>
      </c>
      <c r="H16" s="9" t="s">
        <v>12</v>
      </c>
      <c r="I16" s="9" t="s">
        <v>12</v>
      </c>
      <c r="J16" s="9" t="s">
        <v>13</v>
      </c>
      <c r="M16" s="10">
        <v>380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>
        <f t="shared" si="0"/>
        <v>380</v>
      </c>
    </row>
    <row r="17" spans="1:25" s="9" customFormat="1" ht="11.25" customHeight="1">
      <c r="A17" s="9">
        <v>2014</v>
      </c>
      <c r="B17" s="9" t="s">
        <v>573</v>
      </c>
      <c r="C17" s="9" t="s">
        <v>7</v>
      </c>
      <c r="D17" s="9" t="s">
        <v>7</v>
      </c>
      <c r="E17" s="9" t="s">
        <v>148</v>
      </c>
      <c r="F17" s="9" t="s">
        <v>85</v>
      </c>
      <c r="G17" s="9" t="s">
        <v>439</v>
      </c>
      <c r="H17" s="9" t="s">
        <v>148</v>
      </c>
      <c r="I17" s="9" t="s">
        <v>148</v>
      </c>
      <c r="J17" s="9" t="s">
        <v>148</v>
      </c>
      <c r="M17" s="10">
        <v>10506</v>
      </c>
      <c r="N17" s="10">
        <v>10506</v>
      </c>
      <c r="O17" s="10">
        <v>10506</v>
      </c>
      <c r="P17" s="10">
        <v>10506</v>
      </c>
      <c r="Q17" s="10">
        <v>10506</v>
      </c>
      <c r="R17" s="10">
        <v>10506</v>
      </c>
      <c r="S17" s="10">
        <v>10506</v>
      </c>
      <c r="T17" s="10">
        <v>10506</v>
      </c>
      <c r="U17" s="10">
        <v>10506</v>
      </c>
      <c r="V17" s="10">
        <v>10506</v>
      </c>
      <c r="W17" s="10">
        <v>10506</v>
      </c>
      <c r="X17" s="10">
        <v>10506</v>
      </c>
      <c r="Y17" s="10">
        <f t="shared" si="0"/>
        <v>126072</v>
      </c>
    </row>
    <row r="18" spans="1:25" s="9" customFormat="1" ht="11.25" customHeight="1">
      <c r="A18" s="9">
        <v>2014</v>
      </c>
      <c r="B18" s="9" t="s">
        <v>573</v>
      </c>
      <c r="C18" s="9" t="s">
        <v>7</v>
      </c>
      <c r="D18" s="9" t="s">
        <v>7</v>
      </c>
      <c r="E18" s="9" t="s">
        <v>37</v>
      </c>
      <c r="F18" s="9" t="s">
        <v>85</v>
      </c>
      <c r="G18" s="9" t="s">
        <v>439</v>
      </c>
      <c r="H18" s="9" t="s">
        <v>37</v>
      </c>
      <c r="I18" s="9" t="s">
        <v>37</v>
      </c>
      <c r="J18" s="9" t="s">
        <v>37</v>
      </c>
      <c r="M18" s="10">
        <v>1500</v>
      </c>
      <c r="N18" s="10">
        <v>1500</v>
      </c>
      <c r="O18" s="10">
        <v>1500</v>
      </c>
      <c r="P18" s="10">
        <v>1500</v>
      </c>
      <c r="Q18" s="10">
        <v>1500</v>
      </c>
      <c r="R18" s="10">
        <v>1500</v>
      </c>
      <c r="S18" s="10">
        <v>1500</v>
      </c>
      <c r="T18" s="10">
        <v>1500</v>
      </c>
      <c r="U18" s="10">
        <v>1500</v>
      </c>
      <c r="V18" s="10">
        <v>1500</v>
      </c>
      <c r="W18" s="10">
        <v>1500</v>
      </c>
      <c r="X18" s="10">
        <v>1500</v>
      </c>
      <c r="Y18" s="10">
        <f t="shared" si="0"/>
        <v>18000</v>
      </c>
    </row>
    <row r="19" spans="1:25" s="9" customFormat="1" ht="11.25" customHeight="1">
      <c r="A19" s="9">
        <v>2014</v>
      </c>
      <c r="B19" s="9" t="s">
        <v>573</v>
      </c>
      <c r="C19" s="9" t="s">
        <v>7</v>
      </c>
      <c r="D19" s="9" t="s">
        <v>54</v>
      </c>
      <c r="E19" s="9" t="s">
        <v>412</v>
      </c>
      <c r="F19" s="9" t="s">
        <v>85</v>
      </c>
      <c r="G19" s="9" t="s">
        <v>439</v>
      </c>
      <c r="H19" s="9" t="s">
        <v>54</v>
      </c>
      <c r="I19" s="9" t="s">
        <v>412</v>
      </c>
      <c r="J19" s="9" t="s">
        <v>421</v>
      </c>
      <c r="M19" s="10"/>
      <c r="N19" s="10"/>
      <c r="O19" s="10">
        <v>4515</v>
      </c>
      <c r="P19" s="10">
        <v>11715</v>
      </c>
      <c r="Q19" s="10">
        <v>10811</v>
      </c>
      <c r="R19" s="10">
        <v>26004</v>
      </c>
      <c r="S19" s="10"/>
      <c r="T19" s="10">
        <v>10586</v>
      </c>
      <c r="U19" s="10"/>
      <c r="V19" s="10">
        <v>15715</v>
      </c>
      <c r="W19" s="10"/>
      <c r="X19" s="10">
        <v>29493</v>
      </c>
      <c r="Y19" s="10"/>
    </row>
    <row r="20" spans="1:25" s="9" customFormat="1" ht="11.25" customHeight="1">
      <c r="A20" s="9">
        <v>2014</v>
      </c>
      <c r="B20" s="9" t="s">
        <v>573</v>
      </c>
      <c r="C20" s="9" t="s">
        <v>7</v>
      </c>
      <c r="D20" s="9" t="s">
        <v>54</v>
      </c>
      <c r="E20" s="9" t="s">
        <v>412</v>
      </c>
      <c r="F20" s="9" t="s">
        <v>85</v>
      </c>
      <c r="G20" s="9" t="s">
        <v>439</v>
      </c>
      <c r="H20" s="9" t="s">
        <v>54</v>
      </c>
      <c r="I20" s="9" t="s">
        <v>412</v>
      </c>
      <c r="J20" s="9" t="s">
        <v>413</v>
      </c>
      <c r="M20" s="10"/>
      <c r="N20" s="10">
        <v>30000</v>
      </c>
      <c r="O20" s="10">
        <v>30000</v>
      </c>
      <c r="P20" s="10"/>
      <c r="Q20" s="10"/>
      <c r="R20" s="10"/>
      <c r="S20" s="10"/>
      <c r="T20" s="10"/>
      <c r="U20" s="10">
        <v>20000</v>
      </c>
      <c r="V20" s="10"/>
      <c r="W20" s="10"/>
      <c r="X20" s="10"/>
      <c r="Y20" s="10">
        <f t="shared" si="0"/>
        <v>80000</v>
      </c>
    </row>
    <row r="21" spans="1:25" s="9" customFormat="1" ht="11.25" customHeight="1">
      <c r="A21" s="9">
        <v>2014</v>
      </c>
      <c r="B21" s="9" t="s">
        <v>573</v>
      </c>
      <c r="C21" s="9" t="s">
        <v>7</v>
      </c>
      <c r="D21" s="9" t="s">
        <v>54</v>
      </c>
      <c r="E21" s="9" t="s">
        <v>412</v>
      </c>
      <c r="F21" s="9" t="s">
        <v>85</v>
      </c>
      <c r="G21" s="9" t="s">
        <v>439</v>
      </c>
      <c r="H21" s="9" t="s">
        <v>54</v>
      </c>
      <c r="I21" s="9" t="s">
        <v>412</v>
      </c>
      <c r="J21" s="9" t="s">
        <v>427</v>
      </c>
      <c r="M21" s="10"/>
      <c r="N21" s="10"/>
      <c r="O21" s="10"/>
      <c r="P21" s="10">
        <v>15000</v>
      </c>
      <c r="Q21" s="10">
        <v>15000</v>
      </c>
      <c r="R21" s="10">
        <v>159623</v>
      </c>
      <c r="S21" s="10"/>
      <c r="T21" s="10">
        <v>15000</v>
      </c>
      <c r="U21" s="10"/>
      <c r="V21" s="10"/>
      <c r="W21" s="10"/>
      <c r="X21" s="10">
        <v>174623</v>
      </c>
      <c r="Y21" s="10">
        <v>110000</v>
      </c>
    </row>
    <row r="22" spans="1:25" s="9" customFormat="1" ht="11.25" customHeight="1">
      <c r="A22" s="9">
        <v>2014</v>
      </c>
      <c r="B22" s="9" t="s">
        <v>573</v>
      </c>
      <c r="C22" s="9" t="s">
        <v>7</v>
      </c>
      <c r="D22" s="9" t="s">
        <v>54</v>
      </c>
      <c r="E22" s="9" t="s">
        <v>79</v>
      </c>
      <c r="F22" s="9" t="s">
        <v>85</v>
      </c>
      <c r="G22" s="9" t="s">
        <v>439</v>
      </c>
      <c r="H22" s="9" t="s">
        <v>54</v>
      </c>
      <c r="I22" s="9" t="s">
        <v>79</v>
      </c>
      <c r="J22" s="9" t="s">
        <v>87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s="9" customFormat="1" ht="11.25" customHeight="1">
      <c r="A23" s="9">
        <v>2014</v>
      </c>
      <c r="B23" s="9" t="s">
        <v>573</v>
      </c>
      <c r="C23" s="9" t="s">
        <v>7</v>
      </c>
      <c r="D23" s="9" t="s">
        <v>54</v>
      </c>
      <c r="E23" s="9" t="s">
        <v>79</v>
      </c>
      <c r="F23" s="9" t="s">
        <v>85</v>
      </c>
      <c r="G23" s="9" t="s">
        <v>439</v>
      </c>
      <c r="H23" s="9" t="s">
        <v>54</v>
      </c>
      <c r="I23" s="9" t="s">
        <v>79</v>
      </c>
      <c r="J23" s="9" t="s">
        <v>428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s="9" customFormat="1" ht="11.25" customHeight="1">
      <c r="A24" s="9">
        <v>2014</v>
      </c>
      <c r="B24" s="9" t="s">
        <v>573</v>
      </c>
      <c r="C24" s="9" t="s">
        <v>7</v>
      </c>
      <c r="D24" s="9" t="s">
        <v>54</v>
      </c>
      <c r="E24" s="9" t="s">
        <v>79</v>
      </c>
      <c r="F24" s="9" t="s">
        <v>85</v>
      </c>
      <c r="G24" s="9" t="s">
        <v>439</v>
      </c>
      <c r="H24" s="9" t="s">
        <v>54</v>
      </c>
      <c r="I24" s="9" t="s">
        <v>79</v>
      </c>
      <c r="J24" s="9" t="s">
        <v>80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s="9" customFormat="1" ht="11.25" customHeight="1">
      <c r="A25" s="9">
        <v>2014</v>
      </c>
      <c r="B25" s="9" t="s">
        <v>573</v>
      </c>
      <c r="C25" s="9" t="s">
        <v>7</v>
      </c>
      <c r="D25" s="9" t="s">
        <v>54</v>
      </c>
      <c r="E25" s="9" t="s">
        <v>79</v>
      </c>
      <c r="F25" s="9" t="s">
        <v>85</v>
      </c>
      <c r="G25" s="9" t="s">
        <v>439</v>
      </c>
      <c r="H25" s="9" t="s">
        <v>54</v>
      </c>
      <c r="I25" s="9" t="s">
        <v>79</v>
      </c>
      <c r="J25" s="9" t="s">
        <v>423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s="9" customFormat="1" ht="11.25" customHeight="1">
      <c r="A26" s="9">
        <v>2014</v>
      </c>
      <c r="B26" s="9" t="s">
        <v>573</v>
      </c>
      <c r="C26" s="9" t="s">
        <v>7</v>
      </c>
      <c r="D26" s="9" t="s">
        <v>54</v>
      </c>
      <c r="E26" s="9" t="s">
        <v>79</v>
      </c>
      <c r="F26" s="9" t="s">
        <v>85</v>
      </c>
      <c r="G26" s="9" t="s">
        <v>439</v>
      </c>
      <c r="H26" s="9" t="s">
        <v>54</v>
      </c>
      <c r="I26" s="9" t="s">
        <v>79</v>
      </c>
      <c r="J26" s="9" t="s">
        <v>422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s="9" customFormat="1" ht="11.25" customHeight="1">
      <c r="A27" s="9">
        <v>2014</v>
      </c>
      <c r="B27" s="9" t="s">
        <v>573</v>
      </c>
      <c r="C27" s="9" t="s">
        <v>7</v>
      </c>
      <c r="D27" s="9" t="s">
        <v>54</v>
      </c>
      <c r="E27" s="9" t="s">
        <v>55</v>
      </c>
      <c r="F27" s="9" t="s">
        <v>85</v>
      </c>
      <c r="G27" s="9" t="s">
        <v>439</v>
      </c>
      <c r="H27" s="9" t="s">
        <v>54</v>
      </c>
      <c r="I27" s="9" t="s">
        <v>55</v>
      </c>
      <c r="J27" s="9" t="s">
        <v>56</v>
      </c>
      <c r="M27" s="10">
        <v>2500</v>
      </c>
      <c r="N27" s="10">
        <v>2500</v>
      </c>
      <c r="O27" s="10">
        <v>2500</v>
      </c>
      <c r="P27" s="10">
        <v>1500</v>
      </c>
      <c r="Q27" s="10">
        <v>1500</v>
      </c>
      <c r="R27" s="10">
        <v>1500</v>
      </c>
      <c r="S27" s="10">
        <v>1500</v>
      </c>
      <c r="T27" s="10">
        <v>1500</v>
      </c>
      <c r="U27" s="10">
        <v>1500</v>
      </c>
      <c r="V27" s="10">
        <v>1500</v>
      </c>
      <c r="W27" s="10">
        <v>1500</v>
      </c>
      <c r="X27" s="10">
        <v>1500</v>
      </c>
      <c r="Y27" s="10">
        <f t="shared" si="0"/>
        <v>21000</v>
      </c>
    </row>
    <row r="28" spans="1:25" s="9" customFormat="1" ht="11.25" customHeight="1">
      <c r="A28" s="9">
        <v>2014</v>
      </c>
      <c r="B28" s="9" t="s">
        <v>573</v>
      </c>
      <c r="C28" s="9" t="s">
        <v>7</v>
      </c>
      <c r="D28" s="9" t="s">
        <v>54</v>
      </c>
      <c r="E28" s="9" t="s">
        <v>55</v>
      </c>
      <c r="F28" s="9" t="s">
        <v>85</v>
      </c>
      <c r="G28" s="9" t="s">
        <v>439</v>
      </c>
      <c r="H28" s="9" t="s">
        <v>54</v>
      </c>
      <c r="I28" s="9" t="s">
        <v>55</v>
      </c>
      <c r="J28" s="9" t="s">
        <v>203</v>
      </c>
      <c r="M28" s="10">
        <v>50000</v>
      </c>
      <c r="N28" s="10">
        <v>50000</v>
      </c>
      <c r="O28" s="10">
        <v>50000</v>
      </c>
      <c r="P28" s="10">
        <v>50000</v>
      </c>
      <c r="Q28" s="10"/>
      <c r="R28" s="10"/>
      <c r="S28" s="10"/>
      <c r="T28" s="10"/>
      <c r="U28" s="10"/>
      <c r="V28" s="10"/>
      <c r="W28" s="10"/>
      <c r="X28" s="10"/>
      <c r="Y28" s="10">
        <f t="shared" si="0"/>
        <v>200000</v>
      </c>
    </row>
    <row r="29" spans="1:25" s="9" customFormat="1" ht="11.25" customHeight="1">
      <c r="A29" s="9">
        <v>2014</v>
      </c>
      <c r="B29" s="9" t="s">
        <v>573</v>
      </c>
      <c r="C29" s="9" t="s">
        <v>7</v>
      </c>
      <c r="D29" s="9" t="s">
        <v>54</v>
      </c>
      <c r="E29" s="9" t="s">
        <v>55</v>
      </c>
      <c r="F29" s="9" t="s">
        <v>85</v>
      </c>
      <c r="G29" s="9" t="s">
        <v>439</v>
      </c>
      <c r="H29" s="9" t="s">
        <v>54</v>
      </c>
      <c r="I29" s="9" t="s">
        <v>55</v>
      </c>
      <c r="J29" s="9" t="s">
        <v>86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>
        <f t="shared" si="0"/>
        <v>0</v>
      </c>
    </row>
    <row r="30" spans="1:25" s="9" customFormat="1" ht="11.25" customHeight="1">
      <c r="A30" s="9">
        <v>2014</v>
      </c>
      <c r="B30" s="9" t="s">
        <v>573</v>
      </c>
      <c r="C30" s="9" t="s">
        <v>7</v>
      </c>
      <c r="D30" s="9" t="s">
        <v>7</v>
      </c>
      <c r="E30" s="9" t="s">
        <v>149</v>
      </c>
      <c r="F30" s="9" t="s">
        <v>85</v>
      </c>
      <c r="G30" s="9" t="s">
        <v>439</v>
      </c>
      <c r="H30" s="9" t="s">
        <v>149</v>
      </c>
      <c r="I30" s="9" t="s">
        <v>149</v>
      </c>
      <c r="J30" s="9" t="s">
        <v>150</v>
      </c>
      <c r="M30" s="10">
        <v>594.88</v>
      </c>
      <c r="N30" s="10">
        <v>594.88</v>
      </c>
      <c r="O30" s="10">
        <v>594.88</v>
      </c>
      <c r="P30" s="10">
        <v>594.88</v>
      </c>
      <c r="Q30" s="10">
        <v>594.88</v>
      </c>
      <c r="R30" s="10">
        <v>594.88</v>
      </c>
      <c r="S30" s="10">
        <v>594.88</v>
      </c>
      <c r="T30" s="10">
        <v>594.88</v>
      </c>
      <c r="U30" s="10">
        <v>594.88</v>
      </c>
      <c r="V30" s="10">
        <v>594.88</v>
      </c>
      <c r="W30" s="10">
        <v>594.88</v>
      </c>
      <c r="X30" s="10">
        <v>594.88</v>
      </c>
      <c r="Y30" s="10">
        <f t="shared" si="0"/>
        <v>7138.56</v>
      </c>
    </row>
    <row r="31" spans="1:25" s="9" customFormat="1" ht="11.25" customHeight="1">
      <c r="A31" s="9">
        <v>2014</v>
      </c>
      <c r="B31" s="9" t="s">
        <v>573</v>
      </c>
      <c r="C31" s="9" t="s">
        <v>7</v>
      </c>
      <c r="D31" s="9" t="s">
        <v>7</v>
      </c>
      <c r="E31" s="9" t="s">
        <v>12</v>
      </c>
      <c r="F31" s="9" t="s">
        <v>85</v>
      </c>
      <c r="G31" s="9" t="s">
        <v>439</v>
      </c>
      <c r="H31" s="9" t="s">
        <v>12</v>
      </c>
      <c r="I31" s="9" t="s">
        <v>12</v>
      </c>
      <c r="J31" s="9" t="s">
        <v>13</v>
      </c>
      <c r="M31" s="10">
        <v>380</v>
      </c>
      <c r="N31" s="10">
        <v>380</v>
      </c>
      <c r="O31" s="10">
        <v>380</v>
      </c>
      <c r="P31" s="10">
        <v>380</v>
      </c>
      <c r="Q31" s="10">
        <v>380</v>
      </c>
      <c r="R31" s="10">
        <v>380</v>
      </c>
      <c r="S31" s="10">
        <v>380</v>
      </c>
      <c r="T31" s="10">
        <v>380</v>
      </c>
      <c r="U31" s="10">
        <v>380</v>
      </c>
      <c r="V31" s="10">
        <v>380</v>
      </c>
      <c r="W31" s="10">
        <v>380</v>
      </c>
      <c r="X31" s="10">
        <v>380</v>
      </c>
      <c r="Y31" s="10">
        <f t="shared" si="0"/>
        <v>4560</v>
      </c>
    </row>
    <row r="32" spans="1:25" s="9" customFormat="1" ht="11.25" customHeight="1">
      <c r="A32" s="9">
        <v>2014</v>
      </c>
      <c r="B32" s="9" t="s">
        <v>573</v>
      </c>
      <c r="C32" s="9" t="s">
        <v>7</v>
      </c>
      <c r="D32" s="9" t="s">
        <v>289</v>
      </c>
      <c r="E32" s="9" t="s">
        <v>289</v>
      </c>
      <c r="F32" s="9" t="s">
        <v>236</v>
      </c>
      <c r="G32" s="9" t="s">
        <v>439</v>
      </c>
      <c r="H32" s="9" t="s">
        <v>289</v>
      </c>
      <c r="I32" s="9" t="s">
        <v>289</v>
      </c>
      <c r="J32" s="9" t="s">
        <v>289</v>
      </c>
      <c r="M32" s="10">
        <v>1800000</v>
      </c>
      <c r="N32" s="10">
        <v>1800000</v>
      </c>
      <c r="O32" s="10">
        <v>1800000</v>
      </c>
      <c r="P32" s="10">
        <v>1800000</v>
      </c>
      <c r="Q32" s="10">
        <v>1800000</v>
      </c>
      <c r="R32" s="10">
        <v>1800000</v>
      </c>
      <c r="S32" s="10">
        <v>1800000</v>
      </c>
      <c r="T32" s="10">
        <v>1800000</v>
      </c>
      <c r="U32" s="10">
        <v>1800000</v>
      </c>
      <c r="V32" s="10">
        <v>1800000</v>
      </c>
      <c r="W32" s="10">
        <v>1800000</v>
      </c>
      <c r="X32" s="10">
        <v>1800000</v>
      </c>
      <c r="Y32" s="10">
        <f t="shared" si="0"/>
        <v>21600000</v>
      </c>
    </row>
    <row r="33" spans="1:25" s="9" customFormat="1" ht="11.25" customHeight="1">
      <c r="A33" s="9">
        <v>2014</v>
      </c>
      <c r="B33" s="9" t="s">
        <v>573</v>
      </c>
      <c r="C33" s="9" t="s">
        <v>7</v>
      </c>
      <c r="D33" s="9" t="s">
        <v>7</v>
      </c>
      <c r="E33" s="9" t="s">
        <v>148</v>
      </c>
      <c r="F33" s="9" t="s">
        <v>236</v>
      </c>
      <c r="G33" s="9" t="s">
        <v>439</v>
      </c>
      <c r="H33" s="9" t="s">
        <v>148</v>
      </c>
      <c r="I33" s="9" t="s">
        <v>148</v>
      </c>
      <c r="J33" s="9" t="s">
        <v>148</v>
      </c>
      <c r="M33" s="10">
        <v>105982</v>
      </c>
      <c r="N33" s="10">
        <v>105982</v>
      </c>
      <c r="O33" s="10">
        <v>105982</v>
      </c>
      <c r="P33" s="10">
        <v>105982</v>
      </c>
      <c r="Q33" s="10">
        <v>105982</v>
      </c>
      <c r="R33" s="10">
        <v>105982</v>
      </c>
      <c r="S33" s="10">
        <v>105982</v>
      </c>
      <c r="T33" s="10">
        <v>105982</v>
      </c>
      <c r="U33" s="10">
        <v>105982</v>
      </c>
      <c r="V33" s="10">
        <v>105982</v>
      </c>
      <c r="W33" s="10">
        <v>105982</v>
      </c>
      <c r="X33" s="10">
        <v>105982</v>
      </c>
      <c r="Y33" s="10">
        <f t="shared" si="0"/>
        <v>1271784</v>
      </c>
    </row>
    <row r="34" spans="1:25" s="9" customFormat="1" ht="11.25" customHeight="1">
      <c r="A34" s="9">
        <v>2014</v>
      </c>
      <c r="B34" s="9" t="s">
        <v>573</v>
      </c>
      <c r="C34" s="9" t="s">
        <v>7</v>
      </c>
      <c r="D34" s="9" t="s">
        <v>7</v>
      </c>
      <c r="E34" s="9" t="s">
        <v>27</v>
      </c>
      <c r="F34" s="9" t="s">
        <v>236</v>
      </c>
      <c r="G34" s="9" t="s">
        <v>439</v>
      </c>
      <c r="H34" s="9" t="s">
        <v>27</v>
      </c>
      <c r="I34" s="9" t="s">
        <v>27</v>
      </c>
      <c r="J34" s="9" t="s">
        <v>28</v>
      </c>
      <c r="M34" s="10">
        <v>2000</v>
      </c>
      <c r="N34" s="10">
        <v>2000</v>
      </c>
      <c r="O34" s="10">
        <v>2000</v>
      </c>
      <c r="P34" s="10">
        <v>2000</v>
      </c>
      <c r="Q34" s="10">
        <v>2500</v>
      </c>
      <c r="R34" s="10">
        <v>2500</v>
      </c>
      <c r="S34" s="10">
        <v>2500</v>
      </c>
      <c r="T34" s="10">
        <v>2000</v>
      </c>
      <c r="U34" s="10">
        <v>2000</v>
      </c>
      <c r="V34" s="10">
        <v>2000</v>
      </c>
      <c r="W34" s="10">
        <v>2000</v>
      </c>
      <c r="X34" s="10">
        <v>2000</v>
      </c>
      <c r="Y34" s="10">
        <f t="shared" si="0"/>
        <v>25500</v>
      </c>
    </row>
    <row r="35" spans="1:25" s="9" customFormat="1" ht="11.25" customHeight="1">
      <c r="A35" s="9">
        <v>2014</v>
      </c>
      <c r="B35" s="9" t="s">
        <v>573</v>
      </c>
      <c r="C35" s="9" t="s">
        <v>7</v>
      </c>
      <c r="D35" s="9" t="s">
        <v>149</v>
      </c>
      <c r="E35" s="9" t="s">
        <v>149</v>
      </c>
      <c r="F35" s="9" t="s">
        <v>236</v>
      </c>
      <c r="G35" s="9" t="s">
        <v>439</v>
      </c>
      <c r="H35" s="9" t="s">
        <v>149</v>
      </c>
      <c r="I35" s="9" t="s">
        <v>149</v>
      </c>
      <c r="J35" s="9" t="s">
        <v>416</v>
      </c>
      <c r="M35" s="10"/>
      <c r="N35" s="10">
        <v>1000</v>
      </c>
      <c r="O35" s="10"/>
      <c r="P35" s="10"/>
      <c r="Q35" s="10">
        <v>1500</v>
      </c>
      <c r="R35" s="10"/>
      <c r="S35" s="10"/>
      <c r="T35" s="10">
        <v>1500</v>
      </c>
      <c r="U35" s="10"/>
      <c r="V35" s="10"/>
      <c r="W35" s="10">
        <v>1000</v>
      </c>
      <c r="X35" s="10"/>
      <c r="Y35" s="10">
        <f t="shared" si="0"/>
        <v>5000</v>
      </c>
    </row>
    <row r="36" spans="1:25" s="9" customFormat="1" ht="11.25" customHeight="1">
      <c r="A36" s="9">
        <v>2014</v>
      </c>
      <c r="B36" s="9" t="s">
        <v>573</v>
      </c>
      <c r="C36" s="9" t="s">
        <v>7</v>
      </c>
      <c r="D36" s="9" t="s">
        <v>149</v>
      </c>
      <c r="E36" s="9" t="s">
        <v>149</v>
      </c>
      <c r="F36" s="9" t="s">
        <v>236</v>
      </c>
      <c r="G36" s="9" t="s">
        <v>439</v>
      </c>
      <c r="H36" s="9" t="s">
        <v>149</v>
      </c>
      <c r="I36" s="9" t="s">
        <v>149</v>
      </c>
      <c r="J36" s="9" t="s">
        <v>417</v>
      </c>
      <c r="M36" s="10"/>
      <c r="N36" s="10">
        <v>6000</v>
      </c>
      <c r="O36" s="10"/>
      <c r="P36" s="10"/>
      <c r="Q36" s="10">
        <v>8000</v>
      </c>
      <c r="R36" s="10"/>
      <c r="S36" s="10"/>
      <c r="T36" s="10">
        <v>8000</v>
      </c>
      <c r="U36" s="10"/>
      <c r="V36" s="10"/>
      <c r="W36" s="10">
        <v>6000</v>
      </c>
      <c r="X36" s="10"/>
      <c r="Y36" s="10">
        <f t="shared" si="0"/>
        <v>28000</v>
      </c>
    </row>
    <row r="37" spans="1:25" s="9" customFormat="1" ht="11.25" customHeight="1">
      <c r="A37" s="9">
        <v>2014</v>
      </c>
      <c r="B37" s="9" t="s">
        <v>573</v>
      </c>
      <c r="C37" s="9" t="s">
        <v>7</v>
      </c>
      <c r="D37" s="9" t="s">
        <v>149</v>
      </c>
      <c r="E37" s="9" t="s">
        <v>149</v>
      </c>
      <c r="F37" s="9" t="s">
        <v>236</v>
      </c>
      <c r="G37" s="9" t="s">
        <v>439</v>
      </c>
      <c r="H37" s="9" t="s">
        <v>149</v>
      </c>
      <c r="I37" s="9" t="s">
        <v>149</v>
      </c>
      <c r="J37" s="9" t="s">
        <v>285</v>
      </c>
      <c r="M37" s="10">
        <v>2569</v>
      </c>
      <c r="N37" s="10">
        <v>2569</v>
      </c>
      <c r="O37" s="10">
        <v>2569</v>
      </c>
      <c r="P37" s="10">
        <v>2569</v>
      </c>
      <c r="Q37" s="10">
        <v>2569</v>
      </c>
      <c r="R37" s="10">
        <v>2569</v>
      </c>
      <c r="S37" s="10">
        <v>2569</v>
      </c>
      <c r="T37" s="10">
        <v>2569</v>
      </c>
      <c r="U37" s="10">
        <v>2569</v>
      </c>
      <c r="V37" s="10">
        <v>2569</v>
      </c>
      <c r="W37" s="10">
        <v>2569</v>
      </c>
      <c r="X37" s="10">
        <v>2569</v>
      </c>
      <c r="Y37" s="10">
        <f t="shared" si="0"/>
        <v>30828</v>
      </c>
    </row>
    <row r="38" spans="1:25" s="9" customFormat="1" ht="11.25" customHeight="1">
      <c r="A38" s="9">
        <v>2014</v>
      </c>
      <c r="B38" s="9" t="s">
        <v>573</v>
      </c>
      <c r="C38" s="9" t="s">
        <v>7</v>
      </c>
      <c r="D38" s="9" t="s">
        <v>149</v>
      </c>
      <c r="E38" s="9" t="s">
        <v>149</v>
      </c>
      <c r="F38" s="9" t="s">
        <v>236</v>
      </c>
      <c r="G38" s="9" t="s">
        <v>439</v>
      </c>
      <c r="H38" s="9" t="s">
        <v>149</v>
      </c>
      <c r="I38" s="9" t="s">
        <v>149</v>
      </c>
      <c r="J38" s="9" t="s">
        <v>286</v>
      </c>
      <c r="M38" s="10">
        <v>35000</v>
      </c>
      <c r="N38" s="10">
        <v>35000</v>
      </c>
      <c r="O38" s="10">
        <v>35000</v>
      </c>
      <c r="P38" s="10">
        <v>35000</v>
      </c>
      <c r="Q38" s="10">
        <v>35000</v>
      </c>
      <c r="R38" s="10">
        <v>35000</v>
      </c>
      <c r="S38" s="10">
        <v>35000</v>
      </c>
      <c r="T38" s="10">
        <v>35000</v>
      </c>
      <c r="U38" s="10">
        <v>35000</v>
      </c>
      <c r="V38" s="10">
        <v>35000</v>
      </c>
      <c r="W38" s="10">
        <v>35000</v>
      </c>
      <c r="X38" s="10">
        <v>35000</v>
      </c>
      <c r="Y38" s="10">
        <f t="shared" si="0"/>
        <v>420000</v>
      </c>
    </row>
    <row r="39" spans="1:25" s="9" customFormat="1" ht="11.25" customHeight="1">
      <c r="A39" s="9">
        <v>2014</v>
      </c>
      <c r="B39" s="9" t="s">
        <v>573</v>
      </c>
      <c r="C39" s="9" t="s">
        <v>7</v>
      </c>
      <c r="D39" s="9" t="s">
        <v>149</v>
      </c>
      <c r="E39" s="9" t="s">
        <v>149</v>
      </c>
      <c r="F39" s="9" t="s">
        <v>236</v>
      </c>
      <c r="G39" s="9" t="s">
        <v>439</v>
      </c>
      <c r="H39" s="9" t="s">
        <v>149</v>
      </c>
      <c r="I39" s="9" t="s">
        <v>149</v>
      </c>
      <c r="J39" s="9" t="s">
        <v>288</v>
      </c>
      <c r="M39" s="10">
        <v>60000</v>
      </c>
      <c r="N39" s="10">
        <v>60000</v>
      </c>
      <c r="O39" s="10">
        <v>60000</v>
      </c>
      <c r="P39" s="10">
        <v>60000</v>
      </c>
      <c r="Q39" s="10">
        <v>60000</v>
      </c>
      <c r="R39" s="10">
        <v>60000</v>
      </c>
      <c r="S39" s="10">
        <v>60000</v>
      </c>
      <c r="T39" s="10">
        <v>60000</v>
      </c>
      <c r="U39" s="10">
        <v>60000</v>
      </c>
      <c r="V39" s="10">
        <v>60000</v>
      </c>
      <c r="W39" s="10">
        <v>60000</v>
      </c>
      <c r="X39" s="10">
        <v>60000</v>
      </c>
      <c r="Y39" s="10">
        <f t="shared" si="0"/>
        <v>720000</v>
      </c>
    </row>
    <row r="40" spans="1:25" s="9" customFormat="1" ht="11.25" customHeight="1">
      <c r="A40" s="9">
        <v>2014</v>
      </c>
      <c r="B40" s="9" t="s">
        <v>573</v>
      </c>
      <c r="C40" s="9" t="s">
        <v>7</v>
      </c>
      <c r="D40" s="9" t="s">
        <v>7</v>
      </c>
      <c r="E40" s="9" t="s">
        <v>149</v>
      </c>
      <c r="F40" s="9" t="s">
        <v>236</v>
      </c>
      <c r="G40" s="9" t="s">
        <v>439</v>
      </c>
      <c r="H40" s="9" t="s">
        <v>149</v>
      </c>
      <c r="I40" s="9" t="s">
        <v>149</v>
      </c>
      <c r="J40" s="9" t="s">
        <v>150</v>
      </c>
      <c r="M40" s="10">
        <v>11893.88</v>
      </c>
      <c r="N40" s="10">
        <v>11893.88</v>
      </c>
      <c r="O40" s="10">
        <v>11893.88</v>
      </c>
      <c r="P40" s="10">
        <v>11893.88</v>
      </c>
      <c r="Q40" s="10">
        <v>11893.88</v>
      </c>
      <c r="R40" s="10">
        <v>11893.88</v>
      </c>
      <c r="S40" s="10">
        <v>11893.88</v>
      </c>
      <c r="T40" s="10">
        <v>11893.88</v>
      </c>
      <c r="U40" s="10">
        <v>11893.88</v>
      </c>
      <c r="V40" s="10">
        <v>11893.88</v>
      </c>
      <c r="W40" s="10">
        <v>11893.88</v>
      </c>
      <c r="X40" s="10">
        <v>11893.88</v>
      </c>
      <c r="Y40" s="10">
        <f t="shared" si="0"/>
        <v>142726.56000000003</v>
      </c>
    </row>
    <row r="41" spans="1:25" s="9" customFormat="1" ht="11.25" customHeight="1">
      <c r="A41" s="9">
        <v>2014</v>
      </c>
      <c r="B41" s="9" t="s">
        <v>573</v>
      </c>
      <c r="C41" s="9" t="s">
        <v>7</v>
      </c>
      <c r="D41" s="9" t="s">
        <v>149</v>
      </c>
      <c r="E41" s="9" t="s">
        <v>149</v>
      </c>
      <c r="F41" s="9" t="s">
        <v>236</v>
      </c>
      <c r="G41" s="9" t="s">
        <v>439</v>
      </c>
      <c r="H41" s="9" t="s">
        <v>149</v>
      </c>
      <c r="I41" s="9" t="s">
        <v>149</v>
      </c>
      <c r="J41" s="9" t="s">
        <v>287</v>
      </c>
      <c r="M41" s="10">
        <v>50000</v>
      </c>
      <c r="N41" s="10">
        <v>50000</v>
      </c>
      <c r="O41" s="10">
        <v>50000</v>
      </c>
      <c r="P41" s="10">
        <v>60000</v>
      </c>
      <c r="Q41" s="10">
        <v>90000</v>
      </c>
      <c r="R41" s="10">
        <v>90000</v>
      </c>
      <c r="S41" s="10">
        <v>80000</v>
      </c>
      <c r="T41" s="10">
        <v>50000</v>
      </c>
      <c r="U41" s="10">
        <v>60000</v>
      </c>
      <c r="V41" s="10">
        <v>50000</v>
      </c>
      <c r="W41" s="10">
        <v>50000</v>
      </c>
      <c r="X41" s="10">
        <v>50000</v>
      </c>
      <c r="Y41" s="10">
        <f t="shared" si="0"/>
        <v>730000</v>
      </c>
    </row>
    <row r="42" spans="1:25" s="9" customFormat="1" ht="11.25" customHeight="1">
      <c r="A42" s="9">
        <v>2014</v>
      </c>
      <c r="B42" s="9" t="s">
        <v>573</v>
      </c>
      <c r="C42" s="9" t="s">
        <v>7</v>
      </c>
      <c r="D42" s="9" t="s">
        <v>149</v>
      </c>
      <c r="E42" s="9" t="s">
        <v>149</v>
      </c>
      <c r="F42" s="9" t="s">
        <v>236</v>
      </c>
      <c r="G42" s="9" t="s">
        <v>439</v>
      </c>
      <c r="H42" s="9" t="s">
        <v>149</v>
      </c>
      <c r="I42" s="9" t="s">
        <v>149</v>
      </c>
      <c r="J42" s="9" t="s">
        <v>418</v>
      </c>
      <c r="M42" s="10"/>
      <c r="N42" s="10">
        <v>1000</v>
      </c>
      <c r="O42" s="10"/>
      <c r="P42" s="10"/>
      <c r="Q42" s="10">
        <v>2000</v>
      </c>
      <c r="R42" s="10"/>
      <c r="S42" s="10"/>
      <c r="T42" s="10">
        <v>2000</v>
      </c>
      <c r="U42" s="10"/>
      <c r="V42" s="10"/>
      <c r="W42" s="10">
        <v>1500</v>
      </c>
      <c r="X42" s="10"/>
      <c r="Y42" s="10">
        <f t="shared" si="0"/>
        <v>6500</v>
      </c>
    </row>
    <row r="43" spans="1:25" s="9" customFormat="1" ht="11.25" customHeight="1">
      <c r="A43" s="9">
        <v>2014</v>
      </c>
      <c r="B43" s="9" t="s">
        <v>573</v>
      </c>
      <c r="C43" s="9" t="s">
        <v>7</v>
      </c>
      <c r="D43" s="9" t="s">
        <v>7</v>
      </c>
      <c r="E43" s="9" t="s">
        <v>18</v>
      </c>
      <c r="F43" s="9" t="s">
        <v>236</v>
      </c>
      <c r="G43" s="9" t="s">
        <v>439</v>
      </c>
      <c r="H43" s="9" t="s">
        <v>18</v>
      </c>
      <c r="I43" s="9" t="s">
        <v>18</v>
      </c>
      <c r="J43" s="9" t="s">
        <v>429</v>
      </c>
      <c r="M43" s="10"/>
      <c r="N43" s="10"/>
      <c r="O43" s="10"/>
      <c r="P43" s="10"/>
      <c r="Q43" s="10">
        <v>2400</v>
      </c>
      <c r="R43" s="10"/>
      <c r="S43" s="10"/>
      <c r="T43" s="10"/>
      <c r="U43" s="10"/>
      <c r="V43" s="10"/>
      <c r="W43" s="10">
        <v>2400</v>
      </c>
      <c r="X43" s="10"/>
      <c r="Y43" s="10">
        <f t="shared" si="0"/>
        <v>4800</v>
      </c>
    </row>
    <row r="44" spans="1:25" s="9" customFormat="1" ht="11.25" customHeight="1">
      <c r="A44" s="9">
        <v>2014</v>
      </c>
      <c r="B44" s="9" t="s">
        <v>573</v>
      </c>
      <c r="C44" s="9" t="s">
        <v>7</v>
      </c>
      <c r="D44" s="9" t="s">
        <v>7</v>
      </c>
      <c r="E44" s="9" t="s">
        <v>18</v>
      </c>
      <c r="F44" s="9" t="s">
        <v>236</v>
      </c>
      <c r="G44" s="9" t="s">
        <v>439</v>
      </c>
      <c r="H44" s="9" t="s">
        <v>18</v>
      </c>
      <c r="I44" s="9" t="s">
        <v>18</v>
      </c>
      <c r="J44" s="9" t="s">
        <v>44</v>
      </c>
      <c r="K44" s="9" t="s">
        <v>284</v>
      </c>
      <c r="M44" s="10">
        <v>400</v>
      </c>
      <c r="N44" s="10">
        <v>400</v>
      </c>
      <c r="O44" s="10">
        <v>400</v>
      </c>
      <c r="P44" s="10">
        <v>400</v>
      </c>
      <c r="Q44" s="10">
        <v>400</v>
      </c>
      <c r="R44" s="10">
        <v>400</v>
      </c>
      <c r="S44" s="10">
        <v>400</v>
      </c>
      <c r="T44" s="10">
        <v>400</v>
      </c>
      <c r="U44" s="10">
        <v>400</v>
      </c>
      <c r="V44" s="10">
        <v>400</v>
      </c>
      <c r="W44" s="10">
        <v>400</v>
      </c>
      <c r="X44" s="10">
        <v>400</v>
      </c>
      <c r="Y44" s="10">
        <f t="shared" si="0"/>
        <v>4800</v>
      </c>
    </row>
    <row r="45" spans="1:25" s="9" customFormat="1" ht="11.25" customHeight="1">
      <c r="A45" s="9">
        <v>2014</v>
      </c>
      <c r="B45" s="9" t="s">
        <v>573</v>
      </c>
      <c r="C45" s="9" t="s">
        <v>7</v>
      </c>
      <c r="D45" s="9" t="s">
        <v>7</v>
      </c>
      <c r="E45" s="9" t="s">
        <v>18</v>
      </c>
      <c r="F45" s="9" t="s">
        <v>236</v>
      </c>
      <c r="G45" s="9" t="s">
        <v>439</v>
      </c>
      <c r="H45" s="9" t="s">
        <v>18</v>
      </c>
      <c r="I45" s="9" t="s">
        <v>18</v>
      </c>
      <c r="J45" s="9" t="s">
        <v>44</v>
      </c>
      <c r="K45" s="9" t="s">
        <v>290</v>
      </c>
      <c r="M45" s="10">
        <v>50</v>
      </c>
      <c r="N45" s="10">
        <v>50</v>
      </c>
      <c r="O45" s="10">
        <v>50</v>
      </c>
      <c r="P45" s="10">
        <v>50</v>
      </c>
      <c r="Q45" s="10">
        <v>50</v>
      </c>
      <c r="R45" s="10">
        <v>50</v>
      </c>
      <c r="S45" s="10">
        <v>50</v>
      </c>
      <c r="T45" s="10">
        <v>50</v>
      </c>
      <c r="U45" s="10">
        <v>50</v>
      </c>
      <c r="V45" s="10">
        <v>50</v>
      </c>
      <c r="W45" s="10">
        <v>50</v>
      </c>
      <c r="X45" s="10">
        <v>50</v>
      </c>
      <c r="Y45" s="10">
        <f t="shared" si="0"/>
        <v>600</v>
      </c>
    </row>
    <row r="46" spans="1:25" s="9" customFormat="1" ht="11.25" customHeight="1">
      <c r="A46" s="9">
        <v>2014</v>
      </c>
      <c r="B46" s="9" t="s">
        <v>573</v>
      </c>
      <c r="C46" s="9" t="s">
        <v>7</v>
      </c>
      <c r="D46" s="9" t="s">
        <v>7</v>
      </c>
      <c r="E46" s="9" t="s">
        <v>29</v>
      </c>
      <c r="F46" s="9" t="s">
        <v>236</v>
      </c>
      <c r="G46" s="9" t="s">
        <v>439</v>
      </c>
      <c r="H46" s="9" t="s">
        <v>29</v>
      </c>
      <c r="I46" s="9" t="s">
        <v>29</v>
      </c>
      <c r="J46" s="9" t="s">
        <v>95</v>
      </c>
      <c r="M46" s="10">
        <v>1000</v>
      </c>
      <c r="N46" s="10">
        <v>1000</v>
      </c>
      <c r="O46" s="10">
        <v>1000</v>
      </c>
      <c r="P46" s="10">
        <v>1000</v>
      </c>
      <c r="Q46" s="10">
        <v>1000</v>
      </c>
      <c r="R46" s="10">
        <v>1000</v>
      </c>
      <c r="S46" s="10">
        <v>1000</v>
      </c>
      <c r="T46" s="10">
        <v>1000</v>
      </c>
      <c r="U46" s="10">
        <v>1000</v>
      </c>
      <c r="V46" s="10">
        <v>1000</v>
      </c>
      <c r="W46" s="10">
        <v>1000</v>
      </c>
      <c r="X46" s="10">
        <v>1000</v>
      </c>
      <c r="Y46" s="10">
        <f t="shared" si="0"/>
        <v>12000</v>
      </c>
    </row>
    <row r="47" spans="1:25" s="9" customFormat="1" ht="11.25" customHeight="1">
      <c r="A47" s="9">
        <v>2014</v>
      </c>
      <c r="B47" s="9" t="s">
        <v>573</v>
      </c>
      <c r="C47" s="9" t="s">
        <v>7</v>
      </c>
      <c r="D47" s="9" t="s">
        <v>7</v>
      </c>
      <c r="E47" s="9" t="s">
        <v>12</v>
      </c>
      <c r="F47" s="9" t="s">
        <v>236</v>
      </c>
      <c r="G47" s="9" t="s">
        <v>439</v>
      </c>
      <c r="H47" s="9" t="s">
        <v>12</v>
      </c>
      <c r="I47" s="9" t="s">
        <v>12</v>
      </c>
      <c r="J47" s="9" t="s">
        <v>13</v>
      </c>
      <c r="K47" s="9" t="s">
        <v>291</v>
      </c>
      <c r="M47" s="10">
        <v>165</v>
      </c>
      <c r="N47" s="10">
        <v>165</v>
      </c>
      <c r="O47" s="10">
        <v>165</v>
      </c>
      <c r="P47" s="10">
        <v>165</v>
      </c>
      <c r="Q47" s="10">
        <v>165</v>
      </c>
      <c r="R47" s="10">
        <v>165</v>
      </c>
      <c r="S47" s="10">
        <v>165</v>
      </c>
      <c r="T47" s="10">
        <v>165</v>
      </c>
      <c r="U47" s="10">
        <v>165</v>
      </c>
      <c r="V47" s="10">
        <v>165</v>
      </c>
      <c r="W47" s="10">
        <v>165</v>
      </c>
      <c r="X47" s="10">
        <v>165</v>
      </c>
      <c r="Y47" s="10">
        <f t="shared" si="0"/>
        <v>1980</v>
      </c>
    </row>
    <row r="48" spans="1:25" s="9" customFormat="1" ht="11.25" customHeight="1">
      <c r="A48" s="9">
        <v>2014</v>
      </c>
      <c r="B48" s="9" t="s">
        <v>573</v>
      </c>
      <c r="C48" s="9" t="s">
        <v>7</v>
      </c>
      <c r="D48" s="9" t="s">
        <v>7</v>
      </c>
      <c r="E48" s="9" t="s">
        <v>12</v>
      </c>
      <c r="F48" s="9" t="s">
        <v>236</v>
      </c>
      <c r="G48" s="9" t="s">
        <v>439</v>
      </c>
      <c r="H48" s="9" t="s">
        <v>12</v>
      </c>
      <c r="I48" s="9" t="s">
        <v>12</v>
      </c>
      <c r="J48" s="9" t="s">
        <v>13</v>
      </c>
      <c r="K48" s="9" t="s">
        <v>297</v>
      </c>
      <c r="M48" s="10">
        <v>165</v>
      </c>
      <c r="N48" s="10">
        <v>165</v>
      </c>
      <c r="O48" s="10">
        <v>165</v>
      </c>
      <c r="P48" s="10">
        <v>165</v>
      </c>
      <c r="Q48" s="10">
        <v>165</v>
      </c>
      <c r="R48" s="10">
        <v>165</v>
      </c>
      <c r="S48" s="10">
        <v>165</v>
      </c>
      <c r="T48" s="10">
        <v>165</v>
      </c>
      <c r="U48" s="10">
        <v>165</v>
      </c>
      <c r="V48" s="10">
        <v>165</v>
      </c>
      <c r="W48" s="10">
        <v>165</v>
      </c>
      <c r="X48" s="10">
        <v>165</v>
      </c>
      <c r="Y48" s="10">
        <f t="shared" si="0"/>
        <v>1980</v>
      </c>
    </row>
    <row r="49" spans="1:25" s="9" customFormat="1" ht="11.25" customHeight="1">
      <c r="A49" s="9">
        <v>2014</v>
      </c>
      <c r="B49" s="9" t="s">
        <v>573</v>
      </c>
      <c r="C49" s="9" t="s">
        <v>7</v>
      </c>
      <c r="D49" s="9" t="s">
        <v>7</v>
      </c>
      <c r="E49" s="9" t="s">
        <v>12</v>
      </c>
      <c r="F49" s="9" t="s">
        <v>236</v>
      </c>
      <c r="G49" s="9" t="s">
        <v>439</v>
      </c>
      <c r="H49" s="9" t="s">
        <v>12</v>
      </c>
      <c r="I49" s="9" t="s">
        <v>12</v>
      </c>
      <c r="J49" s="9" t="s">
        <v>13</v>
      </c>
      <c r="K49" s="9" t="s">
        <v>284</v>
      </c>
      <c r="M49" s="10">
        <v>550</v>
      </c>
      <c r="N49" s="10">
        <v>550</v>
      </c>
      <c r="O49" s="10">
        <v>550</v>
      </c>
      <c r="P49" s="10">
        <v>550</v>
      </c>
      <c r="Q49" s="10">
        <v>550</v>
      </c>
      <c r="R49" s="10">
        <v>550</v>
      </c>
      <c r="S49" s="10">
        <v>550</v>
      </c>
      <c r="T49" s="10">
        <v>550</v>
      </c>
      <c r="U49" s="10">
        <v>550</v>
      </c>
      <c r="V49" s="10">
        <v>550</v>
      </c>
      <c r="W49" s="10">
        <v>550</v>
      </c>
      <c r="X49" s="10">
        <v>550</v>
      </c>
      <c r="Y49" s="10">
        <f t="shared" si="0"/>
        <v>6600</v>
      </c>
    </row>
    <row r="50" spans="1:25" s="9" customFormat="1" ht="11.25" customHeight="1">
      <c r="A50" s="9">
        <v>2014</v>
      </c>
      <c r="B50" s="9" t="s">
        <v>573</v>
      </c>
      <c r="C50" s="9" t="s">
        <v>7</v>
      </c>
      <c r="D50" s="9" t="s">
        <v>7</v>
      </c>
      <c r="E50" s="9" t="s">
        <v>25</v>
      </c>
      <c r="F50" s="9" t="s">
        <v>220</v>
      </c>
      <c r="G50" s="9" t="s">
        <v>439</v>
      </c>
      <c r="H50" s="9" t="s">
        <v>25</v>
      </c>
      <c r="I50" s="9" t="s">
        <v>25</v>
      </c>
      <c r="J50" s="9" t="s">
        <v>26</v>
      </c>
      <c r="M50" s="10">
        <v>450</v>
      </c>
      <c r="N50" s="10">
        <v>450</v>
      </c>
      <c r="O50" s="10">
        <v>450</v>
      </c>
      <c r="P50" s="10">
        <v>450</v>
      </c>
      <c r="Q50" s="10">
        <v>450</v>
      </c>
      <c r="R50" s="10">
        <v>450</v>
      </c>
      <c r="S50" s="10">
        <v>450</v>
      </c>
      <c r="T50" s="10">
        <v>450</v>
      </c>
      <c r="U50" s="10">
        <v>450</v>
      </c>
      <c r="V50" s="10">
        <v>450</v>
      </c>
      <c r="W50" s="10">
        <v>450</v>
      </c>
      <c r="X50" s="10">
        <v>450</v>
      </c>
      <c r="Y50" s="10">
        <f t="shared" si="0"/>
        <v>5400</v>
      </c>
    </row>
    <row r="51" spans="1:25" s="9" customFormat="1" ht="11.25" customHeight="1">
      <c r="A51" s="9">
        <v>2014</v>
      </c>
      <c r="B51" s="9" t="s">
        <v>573</v>
      </c>
      <c r="C51" s="9" t="s">
        <v>7</v>
      </c>
      <c r="D51" s="9" t="s">
        <v>7</v>
      </c>
      <c r="E51" s="9" t="s">
        <v>148</v>
      </c>
      <c r="F51" s="9" t="s">
        <v>220</v>
      </c>
      <c r="G51" s="9" t="s">
        <v>439</v>
      </c>
      <c r="H51" s="9" t="s">
        <v>148</v>
      </c>
      <c r="I51" s="9" t="s">
        <v>148</v>
      </c>
      <c r="J51" s="9" t="s">
        <v>148</v>
      </c>
      <c r="M51" s="10">
        <v>15103</v>
      </c>
      <c r="N51" s="10">
        <v>15103</v>
      </c>
      <c r="O51" s="10">
        <v>15103</v>
      </c>
      <c r="P51" s="10">
        <v>15103</v>
      </c>
      <c r="Q51" s="10">
        <v>15103</v>
      </c>
      <c r="R51" s="10">
        <v>15103</v>
      </c>
      <c r="S51" s="10">
        <v>15103</v>
      </c>
      <c r="T51" s="10">
        <v>15103</v>
      </c>
      <c r="U51" s="10">
        <v>15103</v>
      </c>
      <c r="V51" s="10">
        <v>15103</v>
      </c>
      <c r="W51" s="10">
        <v>15103</v>
      </c>
      <c r="X51" s="10">
        <v>15103</v>
      </c>
      <c r="Y51" s="10">
        <f t="shared" si="0"/>
        <v>181236</v>
      </c>
    </row>
    <row r="52" spans="1:25" s="9" customFormat="1" ht="11.25" customHeight="1">
      <c r="A52" s="9">
        <v>2014</v>
      </c>
      <c r="B52" s="9" t="s">
        <v>573</v>
      </c>
      <c r="C52" s="9" t="s">
        <v>7</v>
      </c>
      <c r="D52" s="9" t="s">
        <v>7</v>
      </c>
      <c r="E52" s="9" t="s">
        <v>37</v>
      </c>
      <c r="F52" s="9" t="s">
        <v>220</v>
      </c>
      <c r="G52" s="9" t="s">
        <v>439</v>
      </c>
      <c r="H52" s="9" t="s">
        <v>37</v>
      </c>
      <c r="I52" s="9" t="s">
        <v>37</v>
      </c>
      <c r="J52" s="9" t="s">
        <v>37</v>
      </c>
      <c r="K52" s="9" t="s">
        <v>221</v>
      </c>
      <c r="M52" s="10">
        <v>1000</v>
      </c>
      <c r="N52" s="10">
        <v>1000</v>
      </c>
      <c r="O52" s="10">
        <v>1000</v>
      </c>
      <c r="P52" s="10">
        <v>1000</v>
      </c>
      <c r="Q52" s="10">
        <v>1000</v>
      </c>
      <c r="R52" s="10">
        <v>1000</v>
      </c>
      <c r="S52" s="10">
        <v>1000</v>
      </c>
      <c r="T52" s="10">
        <v>5000</v>
      </c>
      <c r="U52" s="10">
        <v>5000</v>
      </c>
      <c r="V52" s="10">
        <v>1000</v>
      </c>
      <c r="W52" s="10">
        <v>1000</v>
      </c>
      <c r="X52" s="10">
        <v>1000</v>
      </c>
      <c r="Y52" s="10">
        <f t="shared" si="0"/>
        <v>20000</v>
      </c>
    </row>
    <row r="53" spans="1:25" s="9" customFormat="1" ht="11.25" customHeight="1">
      <c r="A53" s="9">
        <v>2014</v>
      </c>
      <c r="B53" s="9" t="s">
        <v>573</v>
      </c>
      <c r="C53" s="9" t="s">
        <v>7</v>
      </c>
      <c r="D53" s="9" t="s">
        <v>7</v>
      </c>
      <c r="E53" s="9" t="s">
        <v>27</v>
      </c>
      <c r="F53" s="9" t="s">
        <v>220</v>
      </c>
      <c r="G53" s="9" t="s">
        <v>439</v>
      </c>
      <c r="H53" s="9" t="s">
        <v>27</v>
      </c>
      <c r="I53" s="9" t="s">
        <v>27</v>
      </c>
      <c r="J53" s="9" t="s">
        <v>28</v>
      </c>
      <c r="M53" s="10">
        <v>100</v>
      </c>
      <c r="N53" s="10">
        <v>100</v>
      </c>
      <c r="O53" s="10">
        <v>100</v>
      </c>
      <c r="P53" s="10">
        <v>100</v>
      </c>
      <c r="Q53" s="10">
        <v>100</v>
      </c>
      <c r="R53" s="10">
        <v>100</v>
      </c>
      <c r="S53" s="10">
        <v>100</v>
      </c>
      <c r="T53" s="10">
        <v>100</v>
      </c>
      <c r="U53" s="10">
        <v>100</v>
      </c>
      <c r="V53" s="10">
        <v>100</v>
      </c>
      <c r="W53" s="10">
        <v>100</v>
      </c>
      <c r="X53" s="10">
        <v>100</v>
      </c>
      <c r="Y53" s="10">
        <f t="shared" si="0"/>
        <v>1200</v>
      </c>
    </row>
    <row r="54" spans="1:25" s="9" customFormat="1" ht="11.25" customHeight="1">
      <c r="A54" s="9">
        <v>2014</v>
      </c>
      <c r="B54" s="9" t="s">
        <v>573</v>
      </c>
      <c r="C54" s="9" t="s">
        <v>7</v>
      </c>
      <c r="D54" s="9" t="s">
        <v>7</v>
      </c>
      <c r="E54" s="9" t="s">
        <v>149</v>
      </c>
      <c r="F54" s="9" t="s">
        <v>220</v>
      </c>
      <c r="G54" s="9" t="s">
        <v>439</v>
      </c>
      <c r="H54" s="9" t="s">
        <v>149</v>
      </c>
      <c r="I54" s="9" t="s">
        <v>149</v>
      </c>
      <c r="J54" s="9" t="s">
        <v>150</v>
      </c>
      <c r="M54" s="10">
        <v>1338.48</v>
      </c>
      <c r="N54" s="10">
        <v>1338.48</v>
      </c>
      <c r="O54" s="10">
        <v>1338.48</v>
      </c>
      <c r="P54" s="10">
        <v>1338.48</v>
      </c>
      <c r="Q54" s="10">
        <v>1338.48</v>
      </c>
      <c r="R54" s="10">
        <v>1338.48</v>
      </c>
      <c r="S54" s="10">
        <v>1338.48</v>
      </c>
      <c r="T54" s="10">
        <v>1338.48</v>
      </c>
      <c r="U54" s="10">
        <v>1338.48</v>
      </c>
      <c r="V54" s="10">
        <v>1338.48</v>
      </c>
      <c r="W54" s="10">
        <v>1338.48</v>
      </c>
      <c r="X54" s="10">
        <v>1338.48</v>
      </c>
      <c r="Y54" s="10">
        <f t="shared" si="0"/>
        <v>16061.759999999997</v>
      </c>
    </row>
    <row r="55" spans="1:25" s="9" customFormat="1" ht="11.25" customHeight="1">
      <c r="A55" s="9">
        <v>2014</v>
      </c>
      <c r="B55" s="9" t="s">
        <v>573</v>
      </c>
      <c r="C55" s="9" t="s">
        <v>7</v>
      </c>
      <c r="D55" s="9" t="s">
        <v>7</v>
      </c>
      <c r="E55" s="9" t="s">
        <v>18</v>
      </c>
      <c r="F55" s="9" t="s">
        <v>220</v>
      </c>
      <c r="G55" s="9" t="s">
        <v>439</v>
      </c>
      <c r="H55" s="9" t="s">
        <v>18</v>
      </c>
      <c r="I55" s="9" t="s">
        <v>18</v>
      </c>
      <c r="J55" s="9" t="s">
        <v>43</v>
      </c>
      <c r="K55" s="9" t="s">
        <v>221</v>
      </c>
      <c r="M55" s="10">
        <v>7000</v>
      </c>
      <c r="N55" s="10">
        <v>7000</v>
      </c>
      <c r="O55" s="10">
        <v>7000</v>
      </c>
      <c r="P55" s="10">
        <v>7000</v>
      </c>
      <c r="Q55" s="10">
        <v>7000</v>
      </c>
      <c r="R55" s="10">
        <v>7000</v>
      </c>
      <c r="S55" s="10">
        <v>7000</v>
      </c>
      <c r="T55" s="10">
        <v>7000</v>
      </c>
      <c r="U55" s="10">
        <v>7000</v>
      </c>
      <c r="V55" s="10">
        <v>7000</v>
      </c>
      <c r="W55" s="10">
        <v>7000</v>
      </c>
      <c r="X55" s="10">
        <v>7000</v>
      </c>
      <c r="Y55" s="10">
        <f t="shared" si="0"/>
        <v>84000</v>
      </c>
    </row>
    <row r="56" spans="1:25" s="9" customFormat="1" ht="11.25" customHeight="1">
      <c r="A56" s="9">
        <v>2014</v>
      </c>
      <c r="B56" s="9" t="s">
        <v>573</v>
      </c>
      <c r="C56" s="9" t="s">
        <v>7</v>
      </c>
      <c r="D56" s="9" t="s">
        <v>7</v>
      </c>
      <c r="E56" s="9" t="s">
        <v>138</v>
      </c>
      <c r="F56" s="9" t="s">
        <v>220</v>
      </c>
      <c r="G56" s="9" t="s">
        <v>439</v>
      </c>
      <c r="H56" s="9" t="s">
        <v>138</v>
      </c>
      <c r="I56" s="9" t="s">
        <v>139</v>
      </c>
      <c r="J56" s="9" t="s">
        <v>140</v>
      </c>
      <c r="K56" s="9" t="s">
        <v>221</v>
      </c>
      <c r="M56" s="10">
        <v>8000</v>
      </c>
      <c r="N56" s="10">
        <v>2000</v>
      </c>
      <c r="O56" s="10">
        <v>2000</v>
      </c>
      <c r="P56" s="10">
        <v>8000</v>
      </c>
      <c r="Q56" s="10">
        <v>2000</v>
      </c>
      <c r="R56" s="10">
        <v>2000</v>
      </c>
      <c r="S56" s="10">
        <v>8000</v>
      </c>
      <c r="T56" s="10">
        <v>2000</v>
      </c>
      <c r="U56" s="10">
        <v>2000</v>
      </c>
      <c r="V56" s="10">
        <v>2000</v>
      </c>
      <c r="W56" s="10">
        <v>8000</v>
      </c>
      <c r="X56" s="10">
        <v>2000</v>
      </c>
      <c r="Y56" s="10">
        <f t="shared" si="0"/>
        <v>48000</v>
      </c>
    </row>
    <row r="57" spans="1:25" s="9" customFormat="1" ht="11.25" customHeight="1">
      <c r="A57" s="9">
        <v>2014</v>
      </c>
      <c r="B57" s="9" t="s">
        <v>573</v>
      </c>
      <c r="C57" s="9" t="s">
        <v>7</v>
      </c>
      <c r="D57" s="9" t="s">
        <v>7</v>
      </c>
      <c r="E57" s="9" t="s">
        <v>29</v>
      </c>
      <c r="F57" s="9" t="s">
        <v>220</v>
      </c>
      <c r="G57" s="9" t="s">
        <v>439</v>
      </c>
      <c r="H57" s="9" t="s">
        <v>29</v>
      </c>
      <c r="I57" s="9" t="s">
        <v>29</v>
      </c>
      <c r="J57" s="9" t="s">
        <v>95</v>
      </c>
      <c r="M57" s="10">
        <v>1800</v>
      </c>
      <c r="N57" s="10">
        <v>1800</v>
      </c>
      <c r="O57" s="10">
        <v>2900</v>
      </c>
      <c r="P57" s="10">
        <v>1800</v>
      </c>
      <c r="Q57" s="10">
        <v>1800</v>
      </c>
      <c r="R57" s="10">
        <v>2900</v>
      </c>
      <c r="S57" s="10">
        <v>1800</v>
      </c>
      <c r="T57" s="10">
        <v>1800</v>
      </c>
      <c r="U57" s="10">
        <v>2900</v>
      </c>
      <c r="V57" s="10">
        <v>1800</v>
      </c>
      <c r="W57" s="10">
        <v>1800</v>
      </c>
      <c r="X57" s="10">
        <v>2900</v>
      </c>
      <c r="Y57" s="10">
        <f t="shared" si="0"/>
        <v>26000</v>
      </c>
    </row>
    <row r="58" spans="1:25" s="9" customFormat="1" ht="11.25" customHeight="1">
      <c r="A58" s="9">
        <v>2014</v>
      </c>
      <c r="B58" s="9" t="s">
        <v>573</v>
      </c>
      <c r="C58" s="9" t="s">
        <v>7</v>
      </c>
      <c r="D58" s="9" t="s">
        <v>7</v>
      </c>
      <c r="E58" s="9" t="s">
        <v>29</v>
      </c>
      <c r="F58" s="9" t="s">
        <v>220</v>
      </c>
      <c r="G58" s="9" t="s">
        <v>439</v>
      </c>
      <c r="H58" s="9" t="s">
        <v>29</v>
      </c>
      <c r="I58" s="9" t="s">
        <v>29</v>
      </c>
      <c r="J58" s="9" t="s">
        <v>224</v>
      </c>
      <c r="M58" s="10">
        <v>1000</v>
      </c>
      <c r="N58" s="10">
        <v>1000</v>
      </c>
      <c r="O58" s="10">
        <v>1000</v>
      </c>
      <c r="P58" s="10">
        <v>1000</v>
      </c>
      <c r="Q58" s="10">
        <v>1000</v>
      </c>
      <c r="R58" s="10">
        <v>1000</v>
      </c>
      <c r="S58" s="10">
        <v>1000</v>
      </c>
      <c r="T58" s="10">
        <v>1000</v>
      </c>
      <c r="U58" s="10">
        <v>1000</v>
      </c>
      <c r="V58" s="10">
        <v>1000</v>
      </c>
      <c r="W58" s="10">
        <v>1000</v>
      </c>
      <c r="X58" s="10">
        <v>1000</v>
      </c>
      <c r="Y58" s="10">
        <f t="shared" si="0"/>
        <v>12000</v>
      </c>
    </row>
    <row r="59" spans="1:25" s="9" customFormat="1" ht="11.25" customHeight="1">
      <c r="A59" s="9">
        <v>2014</v>
      </c>
      <c r="B59" s="9" t="s">
        <v>573</v>
      </c>
      <c r="C59" s="9" t="s">
        <v>7</v>
      </c>
      <c r="D59" s="9" t="s">
        <v>7</v>
      </c>
      <c r="E59" s="9" t="s">
        <v>29</v>
      </c>
      <c r="F59" s="9" t="s">
        <v>220</v>
      </c>
      <c r="G59" s="9" t="s">
        <v>439</v>
      </c>
      <c r="H59" s="9" t="s">
        <v>29</v>
      </c>
      <c r="I59" s="9" t="s">
        <v>29</v>
      </c>
      <c r="J59" s="9" t="s">
        <v>30</v>
      </c>
      <c r="M59" s="10">
        <v>3140</v>
      </c>
      <c r="N59" s="10">
        <v>3140</v>
      </c>
      <c r="O59" s="10">
        <v>3140</v>
      </c>
      <c r="P59" s="10">
        <v>3140</v>
      </c>
      <c r="Q59" s="10">
        <v>3140</v>
      </c>
      <c r="R59" s="10">
        <v>3140</v>
      </c>
      <c r="S59" s="10">
        <v>3140</v>
      </c>
      <c r="T59" s="10">
        <v>3140</v>
      </c>
      <c r="U59" s="10">
        <v>3140</v>
      </c>
      <c r="V59" s="10">
        <v>3140</v>
      </c>
      <c r="W59" s="10">
        <v>3140</v>
      </c>
      <c r="X59" s="10">
        <v>3140</v>
      </c>
      <c r="Y59" s="10">
        <f t="shared" si="0"/>
        <v>37680</v>
      </c>
    </row>
    <row r="60" spans="1:25" s="9" customFormat="1" ht="11.25" customHeight="1">
      <c r="A60" s="9">
        <v>2014</v>
      </c>
      <c r="B60" s="9" t="s">
        <v>573</v>
      </c>
      <c r="C60" s="9" t="s">
        <v>7</v>
      </c>
      <c r="D60" s="9" t="s">
        <v>7</v>
      </c>
      <c r="E60" s="9" t="s">
        <v>12</v>
      </c>
      <c r="F60" s="9" t="s">
        <v>220</v>
      </c>
      <c r="G60" s="9" t="s">
        <v>439</v>
      </c>
      <c r="H60" s="9" t="s">
        <v>12</v>
      </c>
      <c r="I60" s="9" t="s">
        <v>12</v>
      </c>
      <c r="J60" s="9" t="s">
        <v>134</v>
      </c>
      <c r="K60" s="9" t="s">
        <v>222</v>
      </c>
      <c r="M60" s="10">
        <v>110</v>
      </c>
      <c r="N60" s="10">
        <v>110</v>
      </c>
      <c r="O60" s="10">
        <v>110</v>
      </c>
      <c r="P60" s="10">
        <v>110</v>
      </c>
      <c r="Q60" s="10">
        <v>110</v>
      </c>
      <c r="R60" s="10">
        <v>110</v>
      </c>
      <c r="S60" s="10">
        <v>110</v>
      </c>
      <c r="T60" s="10">
        <v>110</v>
      </c>
      <c r="U60" s="10">
        <v>110</v>
      </c>
      <c r="V60" s="10">
        <v>110</v>
      </c>
      <c r="W60" s="10">
        <v>110</v>
      </c>
      <c r="X60" s="10">
        <v>110</v>
      </c>
      <c r="Y60" s="10">
        <f t="shared" si="0"/>
        <v>1320</v>
      </c>
    </row>
    <row r="61" spans="1:25" s="9" customFormat="1" ht="11.25" customHeight="1">
      <c r="A61" s="9">
        <v>2014</v>
      </c>
      <c r="B61" s="9" t="s">
        <v>573</v>
      </c>
      <c r="C61" s="9" t="s">
        <v>7</v>
      </c>
      <c r="D61" s="9" t="s">
        <v>7</v>
      </c>
      <c r="E61" s="9" t="s">
        <v>12</v>
      </c>
      <c r="F61" s="9" t="s">
        <v>220</v>
      </c>
      <c r="G61" s="9" t="s">
        <v>439</v>
      </c>
      <c r="H61" s="9" t="s">
        <v>12</v>
      </c>
      <c r="I61" s="9" t="s">
        <v>12</v>
      </c>
      <c r="J61" s="9" t="s">
        <v>134</v>
      </c>
      <c r="K61" s="9" t="s">
        <v>221</v>
      </c>
      <c r="M61" s="10">
        <v>110</v>
      </c>
      <c r="N61" s="10">
        <v>110</v>
      </c>
      <c r="O61" s="10">
        <v>110</v>
      </c>
      <c r="P61" s="10">
        <v>110</v>
      </c>
      <c r="Q61" s="10">
        <v>110</v>
      </c>
      <c r="R61" s="10">
        <v>110</v>
      </c>
      <c r="S61" s="10">
        <v>110</v>
      </c>
      <c r="T61" s="10">
        <v>110</v>
      </c>
      <c r="U61" s="10">
        <v>110</v>
      </c>
      <c r="V61" s="10">
        <v>110</v>
      </c>
      <c r="W61" s="10">
        <v>110</v>
      </c>
      <c r="X61" s="10">
        <v>110</v>
      </c>
      <c r="Y61" s="10">
        <f t="shared" si="0"/>
        <v>1320</v>
      </c>
    </row>
    <row r="62" spans="1:25" s="9" customFormat="1" ht="11.25" customHeight="1">
      <c r="A62" s="9">
        <v>2014</v>
      </c>
      <c r="B62" s="9" t="s">
        <v>573</v>
      </c>
      <c r="C62" s="9" t="s">
        <v>7</v>
      </c>
      <c r="D62" s="9" t="s">
        <v>7</v>
      </c>
      <c r="E62" s="9" t="s">
        <v>12</v>
      </c>
      <c r="F62" s="9" t="s">
        <v>220</v>
      </c>
      <c r="G62" s="9" t="s">
        <v>439</v>
      </c>
      <c r="H62" s="9" t="s">
        <v>12</v>
      </c>
      <c r="I62" s="9" t="s">
        <v>12</v>
      </c>
      <c r="J62" s="9" t="s">
        <v>13</v>
      </c>
      <c r="K62" s="9" t="s">
        <v>223</v>
      </c>
      <c r="M62" s="10">
        <v>80</v>
      </c>
      <c r="N62" s="10">
        <v>80</v>
      </c>
      <c r="O62" s="10">
        <v>80</v>
      </c>
      <c r="P62" s="10">
        <v>80</v>
      </c>
      <c r="Q62" s="10">
        <v>80</v>
      </c>
      <c r="R62" s="10">
        <v>80</v>
      </c>
      <c r="S62" s="10">
        <v>80</v>
      </c>
      <c r="T62" s="10">
        <v>80</v>
      </c>
      <c r="U62" s="10">
        <v>80</v>
      </c>
      <c r="V62" s="10">
        <v>80</v>
      </c>
      <c r="W62" s="10">
        <v>80</v>
      </c>
      <c r="X62" s="10">
        <v>80</v>
      </c>
      <c r="Y62" s="10">
        <f t="shared" si="0"/>
        <v>960</v>
      </c>
    </row>
    <row r="63" spans="1:25" s="9" customFormat="1" ht="11.25" customHeight="1">
      <c r="A63" s="9">
        <v>2014</v>
      </c>
      <c r="B63" s="9" t="s">
        <v>573</v>
      </c>
      <c r="C63" s="9" t="s">
        <v>7</v>
      </c>
      <c r="D63" s="9" t="s">
        <v>7</v>
      </c>
      <c r="E63" s="9" t="s">
        <v>12</v>
      </c>
      <c r="F63" s="9" t="s">
        <v>220</v>
      </c>
      <c r="G63" s="9" t="s">
        <v>439</v>
      </c>
      <c r="H63" s="9" t="s">
        <v>12</v>
      </c>
      <c r="I63" s="9" t="s">
        <v>12</v>
      </c>
      <c r="J63" s="9" t="s">
        <v>13</v>
      </c>
      <c r="K63" s="9" t="s">
        <v>222</v>
      </c>
      <c r="M63" s="10">
        <v>510</v>
      </c>
      <c r="N63" s="10">
        <v>510</v>
      </c>
      <c r="O63" s="10">
        <v>510</v>
      </c>
      <c r="P63" s="10">
        <v>510</v>
      </c>
      <c r="Q63" s="10">
        <v>510</v>
      </c>
      <c r="R63" s="10">
        <v>510</v>
      </c>
      <c r="S63" s="10">
        <v>510</v>
      </c>
      <c r="T63" s="10">
        <v>510</v>
      </c>
      <c r="U63" s="10">
        <v>510</v>
      </c>
      <c r="V63" s="10">
        <v>510</v>
      </c>
      <c r="W63" s="10">
        <v>510</v>
      </c>
      <c r="X63" s="10">
        <v>510</v>
      </c>
      <c r="Y63" s="10">
        <f t="shared" si="0"/>
        <v>6120</v>
      </c>
    </row>
    <row r="64" spans="1:25" s="9" customFormat="1" ht="11.25" customHeight="1">
      <c r="A64" s="9">
        <v>2014</v>
      </c>
      <c r="B64" s="9" t="s">
        <v>573</v>
      </c>
      <c r="C64" s="9" t="s">
        <v>7</v>
      </c>
      <c r="D64" s="9" t="s">
        <v>7</v>
      </c>
      <c r="E64" s="9" t="s">
        <v>12</v>
      </c>
      <c r="F64" s="9" t="s">
        <v>220</v>
      </c>
      <c r="G64" s="9" t="s">
        <v>439</v>
      </c>
      <c r="H64" s="9" t="s">
        <v>12</v>
      </c>
      <c r="I64" s="9" t="s">
        <v>12</v>
      </c>
      <c r="J64" s="9" t="s">
        <v>13</v>
      </c>
      <c r="K64" s="9" t="s">
        <v>221</v>
      </c>
      <c r="M64" s="10">
        <v>550</v>
      </c>
      <c r="N64" s="10">
        <v>550</v>
      </c>
      <c r="O64" s="10">
        <v>550</v>
      </c>
      <c r="P64" s="10">
        <v>550</v>
      </c>
      <c r="Q64" s="10">
        <v>550</v>
      </c>
      <c r="R64" s="10">
        <v>550</v>
      </c>
      <c r="S64" s="10">
        <v>550</v>
      </c>
      <c r="T64" s="10">
        <v>550</v>
      </c>
      <c r="U64" s="10">
        <v>550</v>
      </c>
      <c r="V64" s="10">
        <v>550</v>
      </c>
      <c r="W64" s="10">
        <v>550</v>
      </c>
      <c r="X64" s="10">
        <v>550</v>
      </c>
      <c r="Y64" s="10">
        <f t="shared" si="0"/>
        <v>6600</v>
      </c>
    </row>
    <row r="65" spans="1:25" s="9" customFormat="1" ht="11.25" customHeight="1">
      <c r="A65" s="9">
        <v>2014</v>
      </c>
      <c r="B65" s="9" t="s">
        <v>573</v>
      </c>
      <c r="C65" s="9" t="s">
        <v>7</v>
      </c>
      <c r="D65" s="9" t="s">
        <v>7</v>
      </c>
      <c r="E65" s="9" t="s">
        <v>25</v>
      </c>
      <c r="F65" s="9" t="s">
        <v>234</v>
      </c>
      <c r="G65" s="9" t="s">
        <v>439</v>
      </c>
      <c r="H65" s="9" t="s">
        <v>25</v>
      </c>
      <c r="I65" s="9" t="s">
        <v>25</v>
      </c>
      <c r="J65" s="9" t="s">
        <v>36</v>
      </c>
      <c r="M65" s="10">
        <v>114021</v>
      </c>
      <c r="N65" s="10">
        <v>114021</v>
      </c>
      <c r="O65" s="10">
        <v>114021</v>
      </c>
      <c r="P65" s="10">
        <v>114021</v>
      </c>
      <c r="Q65" s="10">
        <v>114021</v>
      </c>
      <c r="R65" s="10">
        <v>114021</v>
      </c>
      <c r="S65" s="10">
        <v>114021</v>
      </c>
      <c r="T65" s="10">
        <v>114021</v>
      </c>
      <c r="U65" s="10">
        <v>114021</v>
      </c>
      <c r="V65" s="10">
        <v>114021</v>
      </c>
      <c r="W65" s="10">
        <v>114021</v>
      </c>
      <c r="X65" s="10">
        <v>114021</v>
      </c>
      <c r="Y65" s="10">
        <f t="shared" si="0"/>
        <v>1368252</v>
      </c>
    </row>
    <row r="66" spans="1:25" s="9" customFormat="1" ht="11.25" customHeight="1">
      <c r="A66" s="9">
        <v>2014</v>
      </c>
      <c r="B66" s="9" t="s">
        <v>573</v>
      </c>
      <c r="C66" s="9" t="s">
        <v>7</v>
      </c>
      <c r="D66" s="9" t="s">
        <v>7</v>
      </c>
      <c r="E66" s="9" t="s">
        <v>25</v>
      </c>
      <c r="F66" s="9" t="s">
        <v>234</v>
      </c>
      <c r="G66" s="9" t="s">
        <v>439</v>
      </c>
      <c r="H66" s="9" t="s">
        <v>25</v>
      </c>
      <c r="I66" s="9" t="s">
        <v>25</v>
      </c>
      <c r="J66" s="9" t="s">
        <v>26</v>
      </c>
      <c r="M66" s="10">
        <v>64680</v>
      </c>
      <c r="N66" s="10">
        <v>64680</v>
      </c>
      <c r="O66" s="10">
        <v>64680</v>
      </c>
      <c r="P66" s="10">
        <v>64680</v>
      </c>
      <c r="Q66" s="10">
        <v>64680</v>
      </c>
      <c r="R66" s="10">
        <v>64680</v>
      </c>
      <c r="S66" s="10">
        <v>64680</v>
      </c>
      <c r="T66" s="10">
        <v>64680</v>
      </c>
      <c r="U66" s="10">
        <v>64680</v>
      </c>
      <c r="V66" s="10">
        <v>64680</v>
      </c>
      <c r="W66" s="10">
        <v>64680</v>
      </c>
      <c r="X66" s="10">
        <v>64680</v>
      </c>
      <c r="Y66" s="10">
        <f t="shared" ref="Y66:Y129" si="1">SUM(M66:X66)</f>
        <v>776160</v>
      </c>
    </row>
    <row r="67" spans="1:25" s="9" customFormat="1" ht="11.25" customHeight="1">
      <c r="A67" s="9">
        <v>2014</v>
      </c>
      <c r="B67" s="9" t="s">
        <v>573</v>
      </c>
      <c r="C67" s="9" t="s">
        <v>7</v>
      </c>
      <c r="D67" s="9" t="s">
        <v>7</v>
      </c>
      <c r="E67" s="9" t="s">
        <v>148</v>
      </c>
      <c r="F67" s="9" t="s">
        <v>234</v>
      </c>
      <c r="G67" s="9" t="s">
        <v>439</v>
      </c>
      <c r="H67" s="9" t="s">
        <v>148</v>
      </c>
      <c r="I67" s="9" t="s">
        <v>148</v>
      </c>
      <c r="J67" s="9" t="s">
        <v>148</v>
      </c>
      <c r="M67" s="10">
        <v>58254</v>
      </c>
      <c r="N67" s="10">
        <v>58254</v>
      </c>
      <c r="O67" s="10">
        <v>58254</v>
      </c>
      <c r="P67" s="10">
        <v>58254</v>
      </c>
      <c r="Q67" s="10">
        <v>58254</v>
      </c>
      <c r="R67" s="10">
        <v>58254</v>
      </c>
      <c r="S67" s="10">
        <v>58254</v>
      </c>
      <c r="T67" s="10">
        <v>58254</v>
      </c>
      <c r="U67" s="10">
        <v>58254</v>
      </c>
      <c r="V67" s="10">
        <v>58254</v>
      </c>
      <c r="W67" s="10">
        <v>58254</v>
      </c>
      <c r="X67" s="10">
        <v>58254</v>
      </c>
      <c r="Y67" s="10">
        <f t="shared" si="1"/>
        <v>699048</v>
      </c>
    </row>
    <row r="68" spans="1:25" s="9" customFormat="1" ht="11.25" customHeight="1">
      <c r="A68" s="9">
        <v>2014</v>
      </c>
      <c r="B68" s="9" t="s">
        <v>573</v>
      </c>
      <c r="C68" s="9" t="s">
        <v>7</v>
      </c>
      <c r="D68" s="9" t="s">
        <v>7</v>
      </c>
      <c r="E68" s="9" t="s">
        <v>20</v>
      </c>
      <c r="F68" s="9" t="s">
        <v>234</v>
      </c>
      <c r="G68" s="9" t="s">
        <v>439</v>
      </c>
      <c r="H68" s="9" t="s">
        <v>20</v>
      </c>
      <c r="I68" s="9" t="s">
        <v>20</v>
      </c>
      <c r="J68" s="9" t="s">
        <v>238</v>
      </c>
      <c r="M68" s="10">
        <v>540</v>
      </c>
      <c r="N68" s="10">
        <v>540</v>
      </c>
      <c r="O68" s="10">
        <v>540</v>
      </c>
      <c r="P68" s="10">
        <v>540</v>
      </c>
      <c r="Q68" s="10">
        <v>540</v>
      </c>
      <c r="R68" s="10">
        <v>540</v>
      </c>
      <c r="S68" s="10">
        <v>540</v>
      </c>
      <c r="T68" s="10">
        <v>540</v>
      </c>
      <c r="U68" s="10">
        <v>540</v>
      </c>
      <c r="V68" s="10">
        <v>540</v>
      </c>
      <c r="W68" s="10">
        <v>540</v>
      </c>
      <c r="X68" s="10">
        <v>540</v>
      </c>
      <c r="Y68" s="10">
        <f t="shared" si="1"/>
        <v>6480</v>
      </c>
    </row>
    <row r="69" spans="1:25" s="9" customFormat="1" ht="11.25" customHeight="1">
      <c r="A69" s="9">
        <v>2014</v>
      </c>
      <c r="B69" s="9" t="s">
        <v>573</v>
      </c>
      <c r="C69" s="9" t="s">
        <v>7</v>
      </c>
      <c r="D69" s="9" t="s">
        <v>7</v>
      </c>
      <c r="E69" s="9" t="s">
        <v>27</v>
      </c>
      <c r="F69" s="9" t="s">
        <v>234</v>
      </c>
      <c r="G69" s="9" t="s">
        <v>439</v>
      </c>
      <c r="H69" s="9" t="s">
        <v>27</v>
      </c>
      <c r="I69" s="9" t="s">
        <v>27</v>
      </c>
      <c r="J69" s="9" t="s">
        <v>28</v>
      </c>
      <c r="M69" s="10">
        <v>150</v>
      </c>
      <c r="N69" s="10">
        <v>150</v>
      </c>
      <c r="O69" s="10">
        <v>150</v>
      </c>
      <c r="P69" s="10">
        <v>150</v>
      </c>
      <c r="Q69" s="10">
        <v>150</v>
      </c>
      <c r="R69" s="10">
        <v>150</v>
      </c>
      <c r="S69" s="10">
        <v>150</v>
      </c>
      <c r="T69" s="10">
        <v>150</v>
      </c>
      <c r="U69" s="10">
        <v>150</v>
      </c>
      <c r="V69" s="10">
        <v>150</v>
      </c>
      <c r="W69" s="10">
        <v>150</v>
      </c>
      <c r="X69" s="10">
        <v>150</v>
      </c>
      <c r="Y69" s="10">
        <f t="shared" si="1"/>
        <v>1800</v>
      </c>
    </row>
    <row r="70" spans="1:25" s="9" customFormat="1" ht="11.25" customHeight="1">
      <c r="A70" s="9">
        <v>2014</v>
      </c>
      <c r="B70" s="9" t="s">
        <v>573</v>
      </c>
      <c r="C70" s="9" t="s">
        <v>7</v>
      </c>
      <c r="D70" s="9" t="s">
        <v>7</v>
      </c>
      <c r="E70" s="9" t="s">
        <v>22</v>
      </c>
      <c r="F70" s="9" t="s">
        <v>234</v>
      </c>
      <c r="G70" s="9" t="s">
        <v>439</v>
      </c>
      <c r="H70" s="9" t="s">
        <v>22</v>
      </c>
      <c r="I70" s="9" t="s">
        <v>145</v>
      </c>
      <c r="J70" s="9" t="s">
        <v>146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>
        <f t="shared" si="1"/>
        <v>0</v>
      </c>
    </row>
    <row r="71" spans="1:25" s="9" customFormat="1" ht="11.25" customHeight="1">
      <c r="A71" s="9">
        <v>2014</v>
      </c>
      <c r="B71" s="9" t="s">
        <v>573</v>
      </c>
      <c r="C71" s="9" t="s">
        <v>7</v>
      </c>
      <c r="D71" s="9" t="s">
        <v>7</v>
      </c>
      <c r="E71" s="9" t="s">
        <v>149</v>
      </c>
      <c r="F71" s="9" t="s">
        <v>234</v>
      </c>
      <c r="G71" s="9" t="s">
        <v>439</v>
      </c>
      <c r="H71" s="9" t="s">
        <v>149</v>
      </c>
      <c r="I71" s="9" t="s">
        <v>149</v>
      </c>
      <c r="J71" s="9" t="s">
        <v>150</v>
      </c>
      <c r="M71" s="10">
        <v>3188.93</v>
      </c>
      <c r="N71" s="10">
        <v>3188.93</v>
      </c>
      <c r="O71" s="10">
        <v>3188.93</v>
      </c>
      <c r="P71" s="10">
        <v>3188.93</v>
      </c>
      <c r="Q71" s="10">
        <v>3188.93</v>
      </c>
      <c r="R71" s="10">
        <v>3188.93</v>
      </c>
      <c r="S71" s="10">
        <v>3188.93</v>
      </c>
      <c r="T71" s="10">
        <v>3188.93</v>
      </c>
      <c r="U71" s="10">
        <v>3188.93</v>
      </c>
      <c r="V71" s="10">
        <v>3188.93</v>
      </c>
      <c r="W71" s="10">
        <v>3188.93</v>
      </c>
      <c r="X71" s="10">
        <v>3188.93</v>
      </c>
      <c r="Y71" s="10">
        <f t="shared" si="1"/>
        <v>38267.159999999996</v>
      </c>
    </row>
    <row r="72" spans="1:25" s="9" customFormat="1" ht="11.25" customHeight="1">
      <c r="A72" s="9">
        <v>2014</v>
      </c>
      <c r="B72" s="9" t="s">
        <v>573</v>
      </c>
      <c r="C72" s="9" t="s">
        <v>7</v>
      </c>
      <c r="D72" s="9" t="s">
        <v>7</v>
      </c>
      <c r="E72" s="9" t="s">
        <v>18</v>
      </c>
      <c r="F72" s="9" t="s">
        <v>234</v>
      </c>
      <c r="G72" s="9" t="s">
        <v>439</v>
      </c>
      <c r="H72" s="9" t="s">
        <v>18</v>
      </c>
      <c r="I72" s="9" t="s">
        <v>18</v>
      </c>
      <c r="J72" s="9" t="s">
        <v>34</v>
      </c>
      <c r="M72" s="10">
        <v>1850</v>
      </c>
      <c r="N72" s="10">
        <v>1850</v>
      </c>
      <c r="O72" s="10">
        <v>1850</v>
      </c>
      <c r="P72" s="10">
        <v>1850</v>
      </c>
      <c r="Q72" s="10">
        <v>1850</v>
      </c>
      <c r="R72" s="10">
        <v>1850</v>
      </c>
      <c r="S72" s="10">
        <v>1850</v>
      </c>
      <c r="T72" s="10">
        <v>1850</v>
      </c>
      <c r="U72" s="10">
        <v>1850</v>
      </c>
      <c r="V72" s="10">
        <v>1850</v>
      </c>
      <c r="W72" s="10">
        <v>1850</v>
      </c>
      <c r="X72" s="10">
        <v>1850</v>
      </c>
      <c r="Y72" s="10">
        <f t="shared" si="1"/>
        <v>22200</v>
      </c>
    </row>
    <row r="73" spans="1:25" s="9" customFormat="1" ht="11.25" customHeight="1">
      <c r="A73" s="9">
        <v>2014</v>
      </c>
      <c r="B73" s="9" t="s">
        <v>573</v>
      </c>
      <c r="C73" s="9" t="s">
        <v>7</v>
      </c>
      <c r="D73" s="9" t="s">
        <v>7</v>
      </c>
      <c r="E73" s="9" t="s">
        <v>18</v>
      </c>
      <c r="F73" s="9" t="s">
        <v>234</v>
      </c>
      <c r="G73" s="9" t="s">
        <v>439</v>
      </c>
      <c r="H73" s="9" t="s">
        <v>18</v>
      </c>
      <c r="I73" s="9" t="s">
        <v>18</v>
      </c>
      <c r="J73" s="9" t="s">
        <v>43</v>
      </c>
      <c r="M73" s="10">
        <v>4000</v>
      </c>
      <c r="N73" s="10">
        <v>4000</v>
      </c>
      <c r="O73" s="10">
        <v>4000</v>
      </c>
      <c r="P73" s="10">
        <v>4000</v>
      </c>
      <c r="Q73" s="10">
        <v>4000</v>
      </c>
      <c r="R73" s="10">
        <v>4000</v>
      </c>
      <c r="S73" s="10">
        <v>4000</v>
      </c>
      <c r="T73" s="10">
        <v>4000</v>
      </c>
      <c r="U73" s="10">
        <v>4000</v>
      </c>
      <c r="V73" s="10">
        <v>4000</v>
      </c>
      <c r="W73" s="10">
        <v>4000</v>
      </c>
      <c r="X73" s="10">
        <v>4000</v>
      </c>
      <c r="Y73" s="10">
        <f t="shared" si="1"/>
        <v>48000</v>
      </c>
    </row>
    <row r="74" spans="1:25" s="9" customFormat="1" ht="11.25" customHeight="1">
      <c r="A74" s="9">
        <v>2014</v>
      </c>
      <c r="B74" s="9" t="s">
        <v>573</v>
      </c>
      <c r="C74" s="9" t="s">
        <v>7</v>
      </c>
      <c r="D74" s="9" t="s">
        <v>7</v>
      </c>
      <c r="E74" s="9" t="s">
        <v>29</v>
      </c>
      <c r="F74" s="9" t="s">
        <v>234</v>
      </c>
      <c r="G74" s="9" t="s">
        <v>439</v>
      </c>
      <c r="H74" s="9" t="s">
        <v>29</v>
      </c>
      <c r="I74" s="9" t="s">
        <v>29</v>
      </c>
      <c r="J74" s="9" t="s">
        <v>95</v>
      </c>
      <c r="M74" s="10">
        <v>2000</v>
      </c>
      <c r="N74" s="10">
        <v>2000</v>
      </c>
      <c r="O74" s="10">
        <v>2000</v>
      </c>
      <c r="P74" s="10">
        <v>2500</v>
      </c>
      <c r="Q74" s="10">
        <v>4000</v>
      </c>
      <c r="R74" s="10">
        <v>4000</v>
      </c>
      <c r="S74" s="10">
        <v>4000</v>
      </c>
      <c r="T74" s="10">
        <v>4000</v>
      </c>
      <c r="U74" s="10">
        <v>2500</v>
      </c>
      <c r="V74" s="10">
        <v>2000</v>
      </c>
      <c r="W74" s="10">
        <v>2000</v>
      </c>
      <c r="X74" s="10">
        <v>2000</v>
      </c>
      <c r="Y74" s="10">
        <f t="shared" si="1"/>
        <v>33000</v>
      </c>
    </row>
    <row r="75" spans="1:25" s="9" customFormat="1" ht="11.25" customHeight="1">
      <c r="A75" s="9">
        <v>2014</v>
      </c>
      <c r="B75" s="9" t="s">
        <v>573</v>
      </c>
      <c r="C75" s="9" t="s">
        <v>7</v>
      </c>
      <c r="D75" s="9" t="s">
        <v>7</v>
      </c>
      <c r="E75" s="9" t="s">
        <v>29</v>
      </c>
      <c r="F75" s="9" t="s">
        <v>234</v>
      </c>
      <c r="G75" s="9" t="s">
        <v>439</v>
      </c>
      <c r="H75" s="9" t="s">
        <v>29</v>
      </c>
      <c r="I75" s="9" t="s">
        <v>29</v>
      </c>
      <c r="J75" s="9" t="s">
        <v>30</v>
      </c>
      <c r="M75" s="10">
        <v>8600</v>
      </c>
      <c r="N75" s="10">
        <v>8600</v>
      </c>
      <c r="O75" s="10">
        <v>8600</v>
      </c>
      <c r="P75" s="10">
        <v>8600</v>
      </c>
      <c r="Q75" s="10">
        <v>8600</v>
      </c>
      <c r="R75" s="10">
        <v>8600</v>
      </c>
      <c r="S75" s="10">
        <v>8600</v>
      </c>
      <c r="T75" s="10">
        <v>8600</v>
      </c>
      <c r="U75" s="10">
        <v>8600</v>
      </c>
      <c r="V75" s="10">
        <v>8600</v>
      </c>
      <c r="W75" s="10">
        <v>8600</v>
      </c>
      <c r="X75" s="10">
        <v>8600</v>
      </c>
      <c r="Y75" s="10">
        <f t="shared" si="1"/>
        <v>103200</v>
      </c>
    </row>
    <row r="76" spans="1:25" s="9" customFormat="1" ht="11.25" customHeight="1">
      <c r="A76" s="9">
        <v>2014</v>
      </c>
      <c r="B76" s="9" t="s">
        <v>573</v>
      </c>
      <c r="C76" s="9" t="s">
        <v>7</v>
      </c>
      <c r="D76" s="9" t="s">
        <v>7</v>
      </c>
      <c r="E76" s="9" t="s">
        <v>12</v>
      </c>
      <c r="F76" s="9" t="s">
        <v>234</v>
      </c>
      <c r="G76" s="9" t="s">
        <v>439</v>
      </c>
      <c r="H76" s="9" t="s">
        <v>12</v>
      </c>
      <c r="I76" s="9" t="s">
        <v>12</v>
      </c>
      <c r="J76" s="9" t="s">
        <v>134</v>
      </c>
      <c r="M76" s="10">
        <v>1100</v>
      </c>
      <c r="N76" s="10">
        <v>1100</v>
      </c>
      <c r="O76" s="10">
        <v>1100</v>
      </c>
      <c r="P76" s="10">
        <v>1100</v>
      </c>
      <c r="Q76" s="10">
        <v>1100</v>
      </c>
      <c r="R76" s="10">
        <v>1100</v>
      </c>
      <c r="S76" s="10">
        <v>1100</v>
      </c>
      <c r="T76" s="10">
        <v>1100</v>
      </c>
      <c r="U76" s="10">
        <v>1100</v>
      </c>
      <c r="V76" s="10">
        <v>1100</v>
      </c>
      <c r="W76" s="10">
        <v>1100</v>
      </c>
      <c r="X76" s="10">
        <v>1100</v>
      </c>
      <c r="Y76" s="10">
        <f t="shared" si="1"/>
        <v>13200</v>
      </c>
    </row>
    <row r="77" spans="1:25" s="9" customFormat="1" ht="11.25" customHeight="1">
      <c r="A77" s="9">
        <v>2014</v>
      </c>
      <c r="B77" s="9" t="s">
        <v>573</v>
      </c>
      <c r="C77" s="9" t="s">
        <v>7</v>
      </c>
      <c r="D77" s="9" t="s">
        <v>7</v>
      </c>
      <c r="E77" s="9" t="s">
        <v>12</v>
      </c>
      <c r="F77" s="9" t="s">
        <v>234</v>
      </c>
      <c r="G77" s="9" t="s">
        <v>439</v>
      </c>
      <c r="H77" s="9" t="s">
        <v>12</v>
      </c>
      <c r="I77" s="9" t="s">
        <v>12</v>
      </c>
      <c r="J77" s="9" t="s">
        <v>13</v>
      </c>
      <c r="M77" s="10">
        <v>700</v>
      </c>
      <c r="N77" s="10">
        <v>700</v>
      </c>
      <c r="O77" s="10">
        <v>700</v>
      </c>
      <c r="P77" s="10">
        <v>700</v>
      </c>
      <c r="Q77" s="10">
        <v>700</v>
      </c>
      <c r="R77" s="10">
        <v>700</v>
      </c>
      <c r="S77" s="10">
        <v>700</v>
      </c>
      <c r="T77" s="10">
        <v>700</v>
      </c>
      <c r="U77" s="10">
        <v>700</v>
      </c>
      <c r="V77" s="10">
        <v>700</v>
      </c>
      <c r="W77" s="10">
        <v>700</v>
      </c>
      <c r="X77" s="10">
        <v>700</v>
      </c>
      <c r="Y77" s="10">
        <f t="shared" si="1"/>
        <v>8400</v>
      </c>
    </row>
    <row r="78" spans="1:25" s="9" customFormat="1" ht="11.25" customHeight="1">
      <c r="A78" s="9">
        <v>2014</v>
      </c>
      <c r="B78" s="9" t="s">
        <v>573</v>
      </c>
      <c r="C78" s="9" t="s">
        <v>7</v>
      </c>
      <c r="D78" s="9" t="s">
        <v>7</v>
      </c>
      <c r="E78" s="9" t="s">
        <v>148</v>
      </c>
      <c r="F78" s="9" t="s">
        <v>81</v>
      </c>
      <c r="G78" s="9" t="s">
        <v>439</v>
      </c>
      <c r="H78" s="9" t="s">
        <v>148</v>
      </c>
      <c r="I78" s="9" t="s">
        <v>148</v>
      </c>
      <c r="J78" s="9" t="s">
        <v>148</v>
      </c>
      <c r="M78" s="10">
        <v>45594</v>
      </c>
      <c r="N78" s="10">
        <v>45594</v>
      </c>
      <c r="O78" s="10">
        <v>45594</v>
      </c>
      <c r="P78" s="10">
        <v>45594</v>
      </c>
      <c r="Q78" s="10">
        <v>45594</v>
      </c>
      <c r="R78" s="10">
        <v>45594</v>
      </c>
      <c r="S78" s="10">
        <v>45594</v>
      </c>
      <c r="T78" s="10">
        <v>45594</v>
      </c>
      <c r="U78" s="10">
        <v>45594</v>
      </c>
      <c r="V78" s="10">
        <v>45594</v>
      </c>
      <c r="W78" s="10">
        <v>45594</v>
      </c>
      <c r="X78" s="10">
        <v>45594</v>
      </c>
      <c r="Y78" s="10">
        <f t="shared" si="1"/>
        <v>547128</v>
      </c>
    </row>
    <row r="79" spans="1:25" s="9" customFormat="1" ht="11.25" customHeight="1">
      <c r="A79" s="9">
        <v>2014</v>
      </c>
      <c r="B79" s="9" t="s">
        <v>573</v>
      </c>
      <c r="C79" s="9" t="s">
        <v>7</v>
      </c>
      <c r="D79" s="9" t="s">
        <v>7</v>
      </c>
      <c r="E79" s="9" t="s">
        <v>37</v>
      </c>
      <c r="F79" s="9" t="s">
        <v>81</v>
      </c>
      <c r="G79" s="9" t="s">
        <v>439</v>
      </c>
      <c r="H79" s="9" t="s">
        <v>37</v>
      </c>
      <c r="I79" s="9" t="s">
        <v>37</v>
      </c>
      <c r="J79" s="9" t="s">
        <v>37</v>
      </c>
      <c r="M79" s="10">
        <v>1500</v>
      </c>
      <c r="N79" s="10">
        <v>1500</v>
      </c>
      <c r="O79" s="10">
        <v>1500</v>
      </c>
      <c r="P79" s="10">
        <v>1500</v>
      </c>
      <c r="Q79" s="10">
        <v>1500</v>
      </c>
      <c r="R79" s="10">
        <v>1500</v>
      </c>
      <c r="S79" s="10">
        <v>1500</v>
      </c>
      <c r="T79" s="10">
        <v>1500</v>
      </c>
      <c r="U79" s="10">
        <v>1500</v>
      </c>
      <c r="V79" s="10">
        <v>1500</v>
      </c>
      <c r="W79" s="10">
        <v>1500</v>
      </c>
      <c r="X79" s="10">
        <v>1500</v>
      </c>
      <c r="Y79" s="10">
        <f t="shared" si="1"/>
        <v>18000</v>
      </c>
    </row>
    <row r="80" spans="1:25" s="9" customFormat="1" ht="11.25" customHeight="1">
      <c r="A80" s="9">
        <v>2014</v>
      </c>
      <c r="B80" s="9" t="s">
        <v>573</v>
      </c>
      <c r="C80" s="9" t="s">
        <v>7</v>
      </c>
      <c r="D80" s="9" t="s">
        <v>7</v>
      </c>
      <c r="E80" s="9" t="s">
        <v>27</v>
      </c>
      <c r="F80" s="9" t="s">
        <v>81</v>
      </c>
      <c r="G80" s="9" t="s">
        <v>439</v>
      </c>
      <c r="H80" s="9" t="s">
        <v>27</v>
      </c>
      <c r="I80" s="9" t="s">
        <v>27</v>
      </c>
      <c r="J80" s="9" t="s">
        <v>28</v>
      </c>
      <c r="M80" s="10">
        <v>350</v>
      </c>
      <c r="N80" s="10">
        <v>350</v>
      </c>
      <c r="O80" s="10">
        <v>350</v>
      </c>
      <c r="P80" s="10">
        <v>350</v>
      </c>
      <c r="Q80" s="10">
        <v>350</v>
      </c>
      <c r="R80" s="10">
        <v>350</v>
      </c>
      <c r="S80" s="10">
        <v>350</v>
      </c>
      <c r="T80" s="10">
        <v>350</v>
      </c>
      <c r="U80" s="10">
        <v>350</v>
      </c>
      <c r="V80" s="10">
        <v>350</v>
      </c>
      <c r="W80" s="10">
        <v>350</v>
      </c>
      <c r="X80" s="10">
        <v>350</v>
      </c>
      <c r="Y80" s="10">
        <f t="shared" si="1"/>
        <v>4200</v>
      </c>
    </row>
    <row r="81" spans="1:25" s="9" customFormat="1" ht="11.25" customHeight="1">
      <c r="A81" s="9">
        <v>2014</v>
      </c>
      <c r="B81" s="9" t="s">
        <v>573</v>
      </c>
      <c r="C81" s="9" t="s">
        <v>7</v>
      </c>
      <c r="D81" s="9" t="s">
        <v>7</v>
      </c>
      <c r="E81" s="9" t="s">
        <v>149</v>
      </c>
      <c r="F81" s="9" t="s">
        <v>81</v>
      </c>
      <c r="G81" s="9" t="s">
        <v>439</v>
      </c>
      <c r="H81" s="9" t="s">
        <v>149</v>
      </c>
      <c r="I81" s="9" t="s">
        <v>149</v>
      </c>
      <c r="J81" s="9" t="s">
        <v>150</v>
      </c>
      <c r="M81" s="10">
        <v>2676.96</v>
      </c>
      <c r="N81" s="10">
        <v>2676.96</v>
      </c>
      <c r="O81" s="10">
        <v>2676.96</v>
      </c>
      <c r="P81" s="10">
        <v>2676.96</v>
      </c>
      <c r="Q81" s="10">
        <v>2676.96</v>
      </c>
      <c r="R81" s="10">
        <v>2676.96</v>
      </c>
      <c r="S81" s="10">
        <v>2676.96</v>
      </c>
      <c r="T81" s="10">
        <v>2676.96</v>
      </c>
      <c r="U81" s="10">
        <v>2676.96</v>
      </c>
      <c r="V81" s="10">
        <v>2676.96</v>
      </c>
      <c r="W81" s="10">
        <v>2676.96</v>
      </c>
      <c r="X81" s="10">
        <v>2676.96</v>
      </c>
      <c r="Y81" s="10">
        <f t="shared" si="1"/>
        <v>32123.519999999993</v>
      </c>
    </row>
    <row r="82" spans="1:25" s="9" customFormat="1" ht="11.25" customHeight="1">
      <c r="A82" s="9">
        <v>2014</v>
      </c>
      <c r="B82" s="9" t="s">
        <v>573</v>
      </c>
      <c r="C82" s="9" t="s">
        <v>7</v>
      </c>
      <c r="D82" s="9" t="s">
        <v>7</v>
      </c>
      <c r="E82" s="9" t="s">
        <v>12</v>
      </c>
      <c r="F82" s="9" t="s">
        <v>81</v>
      </c>
      <c r="G82" s="9" t="s">
        <v>439</v>
      </c>
      <c r="H82" s="9" t="s">
        <v>12</v>
      </c>
      <c r="I82" s="9" t="s">
        <v>12</v>
      </c>
      <c r="J82" s="9" t="s">
        <v>13</v>
      </c>
      <c r="K82" s="9" t="s">
        <v>84</v>
      </c>
      <c r="M82" s="10">
        <v>61</v>
      </c>
      <c r="N82" s="10">
        <v>61</v>
      </c>
      <c r="O82" s="10">
        <v>61</v>
      </c>
      <c r="P82" s="10">
        <v>61</v>
      </c>
      <c r="Q82" s="10">
        <v>61</v>
      </c>
      <c r="R82" s="10">
        <v>61</v>
      </c>
      <c r="S82" s="10">
        <v>61</v>
      </c>
      <c r="T82" s="10">
        <v>61</v>
      </c>
      <c r="U82" s="10">
        <v>61</v>
      </c>
      <c r="V82" s="10">
        <v>61</v>
      </c>
      <c r="W82" s="10">
        <v>61</v>
      </c>
      <c r="X82" s="10">
        <v>61</v>
      </c>
      <c r="Y82" s="10">
        <f t="shared" si="1"/>
        <v>732</v>
      </c>
    </row>
    <row r="83" spans="1:25" s="9" customFormat="1" ht="11.25" customHeight="1">
      <c r="A83" s="9">
        <v>2014</v>
      </c>
      <c r="B83" s="9" t="s">
        <v>573</v>
      </c>
      <c r="C83" s="9" t="s">
        <v>7</v>
      </c>
      <c r="D83" s="9" t="s">
        <v>7</v>
      </c>
      <c r="E83" s="9" t="s">
        <v>12</v>
      </c>
      <c r="F83" s="9" t="s">
        <v>81</v>
      </c>
      <c r="G83" s="9" t="s">
        <v>439</v>
      </c>
      <c r="H83" s="9" t="s">
        <v>12</v>
      </c>
      <c r="I83" s="9" t="s">
        <v>12</v>
      </c>
      <c r="J83" s="9" t="s">
        <v>13</v>
      </c>
      <c r="K83" s="9" t="s">
        <v>83</v>
      </c>
      <c r="M83" s="10">
        <v>380</v>
      </c>
      <c r="N83" s="10">
        <v>380</v>
      </c>
      <c r="O83" s="10">
        <v>380</v>
      </c>
      <c r="P83" s="10">
        <v>380</v>
      </c>
      <c r="Q83" s="10">
        <v>380</v>
      </c>
      <c r="R83" s="10">
        <v>380</v>
      </c>
      <c r="S83" s="10">
        <v>380</v>
      </c>
      <c r="T83" s="10">
        <v>380</v>
      </c>
      <c r="U83" s="10">
        <v>380</v>
      </c>
      <c r="V83" s="10">
        <v>380</v>
      </c>
      <c r="W83" s="10">
        <v>380</v>
      </c>
      <c r="X83" s="10">
        <v>380</v>
      </c>
      <c r="Y83" s="10">
        <f t="shared" si="1"/>
        <v>4560</v>
      </c>
    </row>
    <row r="84" spans="1:25" s="9" customFormat="1" ht="11.25" customHeight="1">
      <c r="A84" s="9">
        <v>2014</v>
      </c>
      <c r="B84" s="9" t="s">
        <v>573</v>
      </c>
      <c r="C84" s="9" t="s">
        <v>7</v>
      </c>
      <c r="D84" s="9" t="s">
        <v>7</v>
      </c>
      <c r="E84" s="9" t="s">
        <v>12</v>
      </c>
      <c r="F84" s="9" t="s">
        <v>81</v>
      </c>
      <c r="G84" s="9" t="s">
        <v>439</v>
      </c>
      <c r="H84" s="9" t="s">
        <v>12</v>
      </c>
      <c r="I84" s="9" t="s">
        <v>12</v>
      </c>
      <c r="J84" s="9" t="s">
        <v>13</v>
      </c>
      <c r="K84" s="9" t="s">
        <v>82</v>
      </c>
      <c r="M84" s="10">
        <v>380</v>
      </c>
      <c r="N84" s="10">
        <v>380</v>
      </c>
      <c r="O84" s="10">
        <v>380</v>
      </c>
      <c r="P84" s="10">
        <v>380</v>
      </c>
      <c r="Q84" s="10">
        <v>380</v>
      </c>
      <c r="R84" s="10">
        <v>380</v>
      </c>
      <c r="S84" s="10">
        <v>380</v>
      </c>
      <c r="T84" s="10">
        <v>380</v>
      </c>
      <c r="U84" s="10">
        <v>380</v>
      </c>
      <c r="V84" s="10">
        <v>380</v>
      </c>
      <c r="W84" s="10">
        <v>380</v>
      </c>
      <c r="X84" s="10">
        <v>380</v>
      </c>
      <c r="Y84" s="10">
        <f t="shared" si="1"/>
        <v>4560</v>
      </c>
    </row>
    <row r="85" spans="1:25" s="9" customFormat="1" ht="11.25" customHeight="1">
      <c r="A85" s="9">
        <v>2014</v>
      </c>
      <c r="B85" s="9" t="s">
        <v>573</v>
      </c>
      <c r="C85" s="9" t="s">
        <v>7</v>
      </c>
      <c r="D85" s="9" t="s">
        <v>7</v>
      </c>
      <c r="E85" s="9" t="s">
        <v>148</v>
      </c>
      <c r="F85" s="9" t="s">
        <v>237</v>
      </c>
      <c r="G85" s="9" t="s">
        <v>439</v>
      </c>
      <c r="H85" s="9" t="s">
        <v>148</v>
      </c>
      <c r="I85" s="9" t="s">
        <v>148</v>
      </c>
      <c r="J85" s="9" t="s">
        <v>148</v>
      </c>
      <c r="M85" s="10">
        <v>43010</v>
      </c>
      <c r="N85" s="10">
        <v>43010</v>
      </c>
      <c r="O85" s="10">
        <v>43010</v>
      </c>
      <c r="P85" s="10">
        <v>43010</v>
      </c>
      <c r="Q85" s="10"/>
      <c r="R85" s="10">
        <v>43010</v>
      </c>
      <c r="S85" s="10">
        <v>43010</v>
      </c>
      <c r="T85" s="10">
        <v>43010</v>
      </c>
      <c r="U85" s="10">
        <v>43010</v>
      </c>
      <c r="V85" s="10">
        <v>43010</v>
      </c>
      <c r="W85" s="10">
        <v>43010</v>
      </c>
      <c r="X85" s="10">
        <v>43010</v>
      </c>
      <c r="Y85" s="10">
        <f t="shared" si="1"/>
        <v>473110</v>
      </c>
    </row>
    <row r="86" spans="1:25" s="9" customFormat="1" ht="11.25" customHeight="1">
      <c r="A86" s="9">
        <v>2014</v>
      </c>
      <c r="B86" s="9" t="s">
        <v>573</v>
      </c>
      <c r="C86" s="9" t="s">
        <v>7</v>
      </c>
      <c r="D86" s="9" t="s">
        <v>7</v>
      </c>
      <c r="E86" s="9" t="s">
        <v>27</v>
      </c>
      <c r="F86" s="9" t="s">
        <v>237</v>
      </c>
      <c r="G86" s="9" t="s">
        <v>439</v>
      </c>
      <c r="H86" s="9" t="s">
        <v>27</v>
      </c>
      <c r="I86" s="9" t="s">
        <v>27</v>
      </c>
      <c r="J86" s="9" t="s">
        <v>28</v>
      </c>
      <c r="M86" s="10">
        <v>50</v>
      </c>
      <c r="N86" s="10">
        <v>50</v>
      </c>
      <c r="O86" s="10">
        <v>50</v>
      </c>
      <c r="P86" s="10">
        <v>50</v>
      </c>
      <c r="Q86" s="10">
        <v>50</v>
      </c>
      <c r="R86" s="10">
        <v>50</v>
      </c>
      <c r="S86" s="10">
        <v>50</v>
      </c>
      <c r="T86" s="10">
        <v>50</v>
      </c>
      <c r="U86" s="10">
        <v>50</v>
      </c>
      <c r="V86" s="10">
        <v>50</v>
      </c>
      <c r="W86" s="10">
        <v>50</v>
      </c>
      <c r="X86" s="10">
        <v>50</v>
      </c>
      <c r="Y86" s="10">
        <f t="shared" si="1"/>
        <v>600</v>
      </c>
    </row>
    <row r="87" spans="1:25" s="9" customFormat="1" ht="11.25" customHeight="1">
      <c r="A87" s="9">
        <v>2014</v>
      </c>
      <c r="B87" s="9" t="s">
        <v>573</v>
      </c>
      <c r="C87" s="9" t="s">
        <v>7</v>
      </c>
      <c r="D87" s="9" t="s">
        <v>7</v>
      </c>
      <c r="E87" s="9" t="s">
        <v>27</v>
      </c>
      <c r="F87" s="9" t="s">
        <v>237</v>
      </c>
      <c r="G87" s="9" t="s">
        <v>439</v>
      </c>
      <c r="H87" s="9" t="s">
        <v>27</v>
      </c>
      <c r="I87" s="9" t="s">
        <v>27</v>
      </c>
      <c r="J87" s="9" t="s">
        <v>60</v>
      </c>
      <c r="M87" s="10">
        <v>8000</v>
      </c>
      <c r="N87" s="10">
        <v>8000</v>
      </c>
      <c r="O87" s="10">
        <v>8000</v>
      </c>
      <c r="P87" s="10">
        <v>8000</v>
      </c>
      <c r="Q87" s="10">
        <v>8000</v>
      </c>
      <c r="R87" s="10">
        <v>8000</v>
      </c>
      <c r="S87" s="10">
        <v>8000</v>
      </c>
      <c r="T87" s="10">
        <v>8000</v>
      </c>
      <c r="U87" s="10">
        <v>8000</v>
      </c>
      <c r="V87" s="10">
        <v>8000</v>
      </c>
      <c r="W87" s="10">
        <v>8000</v>
      </c>
      <c r="X87" s="10">
        <v>8000</v>
      </c>
      <c r="Y87" s="10">
        <f t="shared" si="1"/>
        <v>96000</v>
      </c>
    </row>
    <row r="88" spans="1:25" s="9" customFormat="1" ht="11.25" customHeight="1">
      <c r="A88" s="9">
        <v>2014</v>
      </c>
      <c r="B88" s="9" t="s">
        <v>573</v>
      </c>
      <c r="C88" s="9" t="s">
        <v>7</v>
      </c>
      <c r="D88" s="9" t="s">
        <v>7</v>
      </c>
      <c r="E88" s="9" t="s">
        <v>149</v>
      </c>
      <c r="F88" s="9" t="s">
        <v>237</v>
      </c>
      <c r="G88" s="9" t="s">
        <v>439</v>
      </c>
      <c r="H88" s="9" t="s">
        <v>149</v>
      </c>
      <c r="I88" s="9" t="s">
        <v>149</v>
      </c>
      <c r="J88" s="9" t="s">
        <v>150</v>
      </c>
      <c r="M88" s="10">
        <v>2937.22</v>
      </c>
      <c r="N88" s="10">
        <v>2937.22</v>
      </c>
      <c r="O88" s="10">
        <v>2937.22</v>
      </c>
      <c r="P88" s="10">
        <v>2937.22</v>
      </c>
      <c r="Q88" s="10"/>
      <c r="R88" s="10">
        <v>2937.22</v>
      </c>
      <c r="S88" s="10">
        <v>2937.22</v>
      </c>
      <c r="T88" s="10">
        <v>2937.22</v>
      </c>
      <c r="U88" s="10">
        <v>2937.22</v>
      </c>
      <c r="V88" s="10">
        <v>2937.22</v>
      </c>
      <c r="W88" s="10">
        <v>2937.22</v>
      </c>
      <c r="X88" s="10">
        <v>2937.22</v>
      </c>
      <c r="Y88" s="10">
        <f t="shared" si="1"/>
        <v>32309.420000000006</v>
      </c>
    </row>
    <row r="89" spans="1:25" s="9" customFormat="1" ht="11.25" customHeight="1">
      <c r="A89" s="9">
        <v>2014</v>
      </c>
      <c r="B89" s="9" t="s">
        <v>573</v>
      </c>
      <c r="C89" s="9" t="s">
        <v>7</v>
      </c>
      <c r="D89" s="9" t="s">
        <v>7</v>
      </c>
      <c r="E89" s="9" t="s">
        <v>29</v>
      </c>
      <c r="F89" s="9" t="s">
        <v>237</v>
      </c>
      <c r="G89" s="9" t="s">
        <v>439</v>
      </c>
      <c r="H89" s="9" t="s">
        <v>29</v>
      </c>
      <c r="I89" s="9" t="s">
        <v>29</v>
      </c>
      <c r="J89" s="9" t="s">
        <v>30</v>
      </c>
      <c r="M89" s="10">
        <v>50</v>
      </c>
      <c r="N89" s="10">
        <v>50</v>
      </c>
      <c r="O89" s="10">
        <v>50</v>
      </c>
      <c r="P89" s="10">
        <v>50</v>
      </c>
      <c r="Q89" s="10">
        <v>50</v>
      </c>
      <c r="R89" s="10">
        <v>50</v>
      </c>
      <c r="S89" s="10">
        <v>50</v>
      </c>
      <c r="T89" s="10">
        <v>50</v>
      </c>
      <c r="U89" s="10">
        <v>50</v>
      </c>
      <c r="V89" s="10">
        <v>50</v>
      </c>
      <c r="W89" s="10">
        <v>50</v>
      </c>
      <c r="X89" s="10">
        <v>50</v>
      </c>
      <c r="Y89" s="10">
        <f t="shared" si="1"/>
        <v>600</v>
      </c>
    </row>
    <row r="90" spans="1:25" s="9" customFormat="1" ht="11.25" customHeight="1">
      <c r="A90" s="9">
        <v>2014</v>
      </c>
      <c r="B90" s="9" t="s">
        <v>573</v>
      </c>
      <c r="C90" s="9" t="s">
        <v>7</v>
      </c>
      <c r="D90" s="9" t="s">
        <v>7</v>
      </c>
      <c r="E90" s="9" t="s">
        <v>12</v>
      </c>
      <c r="F90" s="9" t="s">
        <v>237</v>
      </c>
      <c r="G90" s="9" t="s">
        <v>439</v>
      </c>
      <c r="H90" s="9" t="s">
        <v>12</v>
      </c>
      <c r="I90" s="9" t="s">
        <v>12</v>
      </c>
      <c r="J90" s="9" t="s">
        <v>134</v>
      </c>
      <c r="K90" s="9" t="s">
        <v>254</v>
      </c>
      <c r="L90" s="9" t="s">
        <v>256</v>
      </c>
      <c r="M90" s="10">
        <v>110</v>
      </c>
      <c r="N90" s="10">
        <v>110</v>
      </c>
      <c r="O90" s="10">
        <v>110</v>
      </c>
      <c r="P90" s="10">
        <v>110</v>
      </c>
      <c r="Q90" s="10">
        <v>110</v>
      </c>
      <c r="R90" s="10">
        <v>110</v>
      </c>
      <c r="S90" s="10">
        <v>110</v>
      </c>
      <c r="T90" s="10">
        <v>110</v>
      </c>
      <c r="U90" s="10">
        <v>110</v>
      </c>
      <c r="V90" s="10">
        <v>110</v>
      </c>
      <c r="W90" s="10">
        <v>110</v>
      </c>
      <c r="X90" s="10">
        <v>110</v>
      </c>
      <c r="Y90" s="10">
        <f t="shared" si="1"/>
        <v>1320</v>
      </c>
    </row>
    <row r="91" spans="1:25" s="9" customFormat="1" ht="11.25" customHeight="1">
      <c r="A91" s="9">
        <v>2014</v>
      </c>
      <c r="B91" s="9" t="s">
        <v>573</v>
      </c>
      <c r="C91" s="9" t="s">
        <v>7</v>
      </c>
      <c r="D91" s="9" t="s">
        <v>7</v>
      </c>
      <c r="E91" s="9" t="s">
        <v>12</v>
      </c>
      <c r="F91" s="9" t="s">
        <v>237</v>
      </c>
      <c r="G91" s="9" t="s">
        <v>439</v>
      </c>
      <c r="H91" s="9" t="s">
        <v>12</v>
      </c>
      <c r="I91" s="9" t="s">
        <v>12</v>
      </c>
      <c r="J91" s="9" t="s">
        <v>134</v>
      </c>
      <c r="M91" s="10">
        <v>3450</v>
      </c>
      <c r="N91" s="10">
        <v>3450</v>
      </c>
      <c r="O91" s="10">
        <v>3450</v>
      </c>
      <c r="P91" s="10">
        <v>3450</v>
      </c>
      <c r="Q91" s="10">
        <v>3450</v>
      </c>
      <c r="R91" s="10">
        <v>3450</v>
      </c>
      <c r="S91" s="10">
        <v>3450</v>
      </c>
      <c r="T91" s="10">
        <v>3450</v>
      </c>
      <c r="U91" s="10">
        <v>3450</v>
      </c>
      <c r="V91" s="10">
        <v>3450</v>
      </c>
      <c r="W91" s="10">
        <v>3450</v>
      </c>
      <c r="X91" s="10">
        <v>3450</v>
      </c>
      <c r="Y91" s="10">
        <f t="shared" si="1"/>
        <v>41400</v>
      </c>
    </row>
    <row r="92" spans="1:25" s="9" customFormat="1" ht="11.25" customHeight="1">
      <c r="A92" s="9">
        <v>2014</v>
      </c>
      <c r="B92" s="9" t="s">
        <v>573</v>
      </c>
      <c r="C92" s="9" t="s">
        <v>7</v>
      </c>
      <c r="D92" s="9" t="s">
        <v>7</v>
      </c>
      <c r="E92" s="9" t="s">
        <v>12</v>
      </c>
      <c r="F92" s="9" t="s">
        <v>237</v>
      </c>
      <c r="G92" s="9" t="s">
        <v>439</v>
      </c>
      <c r="H92" s="9" t="s">
        <v>12</v>
      </c>
      <c r="I92" s="9" t="s">
        <v>12</v>
      </c>
      <c r="J92" s="9" t="s">
        <v>13</v>
      </c>
      <c r="K92" s="9" t="s">
        <v>257</v>
      </c>
      <c r="L92" s="9" t="s">
        <v>252</v>
      </c>
      <c r="M92" s="10">
        <v>165</v>
      </c>
      <c r="N92" s="10">
        <v>165</v>
      </c>
      <c r="O92" s="10">
        <v>165</v>
      </c>
      <c r="P92" s="10">
        <v>165</v>
      </c>
      <c r="Q92" s="10">
        <v>165</v>
      </c>
      <c r="R92" s="10">
        <v>165</v>
      </c>
      <c r="S92" s="10">
        <v>165</v>
      </c>
      <c r="T92" s="10">
        <v>165</v>
      </c>
      <c r="U92" s="10">
        <v>165</v>
      </c>
      <c r="V92" s="10">
        <v>165</v>
      </c>
      <c r="W92" s="10">
        <v>165</v>
      </c>
      <c r="X92" s="10">
        <v>165</v>
      </c>
      <c r="Y92" s="10">
        <f t="shared" si="1"/>
        <v>1980</v>
      </c>
    </row>
    <row r="93" spans="1:25" s="9" customFormat="1" ht="11.25" customHeight="1">
      <c r="A93" s="9">
        <v>2014</v>
      </c>
      <c r="B93" s="9" t="s">
        <v>573</v>
      </c>
      <c r="C93" s="9" t="s">
        <v>7</v>
      </c>
      <c r="D93" s="9" t="s">
        <v>7</v>
      </c>
      <c r="E93" s="9" t="s">
        <v>12</v>
      </c>
      <c r="F93" s="9" t="s">
        <v>237</v>
      </c>
      <c r="G93" s="9" t="s">
        <v>439</v>
      </c>
      <c r="H93" s="9" t="s">
        <v>12</v>
      </c>
      <c r="I93" s="9" t="s">
        <v>12</v>
      </c>
      <c r="J93" s="9" t="s">
        <v>13</v>
      </c>
      <c r="K93" s="9" t="s">
        <v>254</v>
      </c>
      <c r="L93" s="9" t="s">
        <v>252</v>
      </c>
      <c r="M93" s="10">
        <v>165</v>
      </c>
      <c r="N93" s="10">
        <v>165</v>
      </c>
      <c r="O93" s="10">
        <v>165</v>
      </c>
      <c r="P93" s="10">
        <v>165</v>
      </c>
      <c r="Q93" s="10">
        <v>165</v>
      </c>
      <c r="R93" s="10">
        <v>165</v>
      </c>
      <c r="S93" s="10">
        <v>165</v>
      </c>
      <c r="T93" s="10">
        <v>165</v>
      </c>
      <c r="U93" s="10">
        <v>165</v>
      </c>
      <c r="V93" s="10">
        <v>165</v>
      </c>
      <c r="W93" s="10">
        <v>165</v>
      </c>
      <c r="X93" s="10">
        <v>165</v>
      </c>
      <c r="Y93" s="10">
        <f t="shared" si="1"/>
        <v>1980</v>
      </c>
    </row>
    <row r="94" spans="1:25" s="9" customFormat="1" ht="11.25" customHeight="1">
      <c r="A94" s="9">
        <v>2014</v>
      </c>
      <c r="B94" s="9" t="s">
        <v>573</v>
      </c>
      <c r="C94" s="9" t="s">
        <v>7</v>
      </c>
      <c r="D94" s="9" t="s">
        <v>7</v>
      </c>
      <c r="E94" s="9" t="s">
        <v>12</v>
      </c>
      <c r="F94" s="9" t="s">
        <v>237</v>
      </c>
      <c r="G94" s="9" t="s">
        <v>439</v>
      </c>
      <c r="H94" s="9" t="s">
        <v>12</v>
      </c>
      <c r="I94" s="9" t="s">
        <v>12</v>
      </c>
      <c r="J94" s="9" t="s">
        <v>13</v>
      </c>
      <c r="K94" s="9" t="s">
        <v>253</v>
      </c>
      <c r="L94" s="9" t="s">
        <v>252</v>
      </c>
      <c r="M94" s="10">
        <v>165</v>
      </c>
      <c r="N94" s="10">
        <v>165</v>
      </c>
      <c r="O94" s="10">
        <v>165</v>
      </c>
      <c r="P94" s="10">
        <v>165</v>
      </c>
      <c r="Q94" s="10">
        <v>165</v>
      </c>
      <c r="R94" s="10">
        <v>165</v>
      </c>
      <c r="S94" s="10">
        <v>165</v>
      </c>
      <c r="T94" s="10">
        <v>165</v>
      </c>
      <c r="U94" s="10">
        <v>165</v>
      </c>
      <c r="V94" s="10">
        <v>165</v>
      </c>
      <c r="W94" s="10">
        <v>165</v>
      </c>
      <c r="X94" s="10">
        <v>165</v>
      </c>
      <c r="Y94" s="10">
        <f t="shared" si="1"/>
        <v>1980</v>
      </c>
    </row>
    <row r="95" spans="1:25" s="9" customFormat="1" ht="11.25" customHeight="1">
      <c r="A95" s="9">
        <v>2014</v>
      </c>
      <c r="B95" s="9" t="s">
        <v>573</v>
      </c>
      <c r="C95" s="9" t="s">
        <v>7</v>
      </c>
      <c r="D95" s="9" t="s">
        <v>7</v>
      </c>
      <c r="E95" s="9" t="s">
        <v>12</v>
      </c>
      <c r="F95" s="9" t="s">
        <v>237</v>
      </c>
      <c r="G95" s="9" t="s">
        <v>439</v>
      </c>
      <c r="H95" s="9" t="s">
        <v>12</v>
      </c>
      <c r="I95" s="9" t="s">
        <v>12</v>
      </c>
      <c r="J95" s="9" t="s">
        <v>13</v>
      </c>
      <c r="K95" s="9" t="s">
        <v>251</v>
      </c>
      <c r="L95" s="9" t="s">
        <v>252</v>
      </c>
      <c r="M95" s="10">
        <v>65</v>
      </c>
      <c r="N95" s="10">
        <v>65</v>
      </c>
      <c r="O95" s="10">
        <v>65</v>
      </c>
      <c r="P95" s="10">
        <v>65</v>
      </c>
      <c r="Q95" s="10">
        <v>65</v>
      </c>
      <c r="R95" s="10">
        <v>65</v>
      </c>
      <c r="S95" s="10">
        <v>65</v>
      </c>
      <c r="T95" s="10">
        <v>65</v>
      </c>
      <c r="U95" s="10">
        <v>65</v>
      </c>
      <c r="V95" s="10">
        <v>65</v>
      </c>
      <c r="W95" s="10">
        <v>65</v>
      </c>
      <c r="X95" s="10">
        <v>65</v>
      </c>
      <c r="Y95" s="10">
        <f t="shared" si="1"/>
        <v>780</v>
      </c>
    </row>
    <row r="96" spans="1:25" s="9" customFormat="1" ht="11.25" customHeight="1">
      <c r="A96" s="9">
        <v>2014</v>
      </c>
      <c r="B96" s="9" t="s">
        <v>573</v>
      </c>
      <c r="C96" s="9" t="s">
        <v>7</v>
      </c>
      <c r="D96" s="9" t="s">
        <v>7</v>
      </c>
      <c r="E96" s="9" t="s">
        <v>12</v>
      </c>
      <c r="F96" s="9" t="s">
        <v>237</v>
      </c>
      <c r="G96" s="9" t="s">
        <v>439</v>
      </c>
      <c r="H96" s="9" t="s">
        <v>12</v>
      </c>
      <c r="I96" s="9" t="s">
        <v>12</v>
      </c>
      <c r="J96" s="9" t="s">
        <v>13</v>
      </c>
      <c r="K96" s="9" t="s">
        <v>255</v>
      </c>
      <c r="L96" s="9" t="s">
        <v>252</v>
      </c>
      <c r="M96" s="10">
        <v>180</v>
      </c>
      <c r="N96" s="10">
        <v>180</v>
      </c>
      <c r="O96" s="10">
        <v>180</v>
      </c>
      <c r="P96" s="10">
        <v>180</v>
      </c>
      <c r="Q96" s="10">
        <v>180</v>
      </c>
      <c r="R96" s="10">
        <v>180</v>
      </c>
      <c r="S96" s="10">
        <v>180</v>
      </c>
      <c r="T96" s="10">
        <v>180</v>
      </c>
      <c r="U96" s="10">
        <v>180</v>
      </c>
      <c r="V96" s="10">
        <v>180</v>
      </c>
      <c r="W96" s="10">
        <v>180</v>
      </c>
      <c r="X96" s="10">
        <v>180</v>
      </c>
      <c r="Y96" s="10">
        <f t="shared" si="1"/>
        <v>2160</v>
      </c>
    </row>
    <row r="97" spans="1:25" s="9" customFormat="1" ht="11.25" customHeight="1">
      <c r="A97" s="9">
        <v>2014</v>
      </c>
      <c r="B97" s="9" t="s">
        <v>573</v>
      </c>
      <c r="C97" s="9" t="s">
        <v>7</v>
      </c>
      <c r="D97" s="9" t="s">
        <v>7</v>
      </c>
      <c r="E97" s="9" t="s">
        <v>12</v>
      </c>
      <c r="F97" s="9" t="s">
        <v>237</v>
      </c>
      <c r="G97" s="9" t="s">
        <v>439</v>
      </c>
      <c r="H97" s="9" t="s">
        <v>12</v>
      </c>
      <c r="I97" s="9" t="s">
        <v>12</v>
      </c>
      <c r="J97" s="9" t="s">
        <v>13</v>
      </c>
      <c r="L97" s="9" t="s">
        <v>252</v>
      </c>
      <c r="M97" s="10">
        <v>6000</v>
      </c>
      <c r="N97" s="10">
        <v>6000</v>
      </c>
      <c r="O97" s="10">
        <v>6000</v>
      </c>
      <c r="P97" s="10">
        <v>6000</v>
      </c>
      <c r="Q97" s="10">
        <v>6000</v>
      </c>
      <c r="R97" s="10">
        <v>6000</v>
      </c>
      <c r="S97" s="10">
        <v>6000</v>
      </c>
      <c r="T97" s="10">
        <v>6000</v>
      </c>
      <c r="U97" s="10">
        <v>6000</v>
      </c>
      <c r="V97" s="10">
        <v>6000</v>
      </c>
      <c r="W97" s="10">
        <v>6000</v>
      </c>
      <c r="X97" s="10">
        <v>6000</v>
      </c>
      <c r="Y97" s="10">
        <f t="shared" si="1"/>
        <v>72000</v>
      </c>
    </row>
    <row r="98" spans="1:25" s="9" customFormat="1" ht="11.25" customHeight="1">
      <c r="A98" s="9">
        <v>2014</v>
      </c>
      <c r="B98" s="9" t="s">
        <v>573</v>
      </c>
      <c r="C98" s="9" t="s">
        <v>7</v>
      </c>
      <c r="D98" s="9" t="s">
        <v>7</v>
      </c>
      <c r="E98" s="9" t="s">
        <v>12</v>
      </c>
      <c r="F98" s="9" t="s">
        <v>237</v>
      </c>
      <c r="G98" s="9" t="s">
        <v>439</v>
      </c>
      <c r="H98" s="9" t="s">
        <v>12</v>
      </c>
      <c r="I98" s="9" t="s">
        <v>12</v>
      </c>
      <c r="J98" s="9" t="s">
        <v>13</v>
      </c>
      <c r="M98" s="10">
        <v>4000</v>
      </c>
      <c r="N98" s="10">
        <v>4000</v>
      </c>
      <c r="O98" s="10">
        <v>4000</v>
      </c>
      <c r="P98" s="10">
        <v>4000</v>
      </c>
      <c r="Q98" s="10">
        <v>4000</v>
      </c>
      <c r="R98" s="10">
        <v>4000</v>
      </c>
      <c r="S98" s="10">
        <v>4000</v>
      </c>
      <c r="T98" s="10">
        <v>4000</v>
      </c>
      <c r="U98" s="10">
        <v>4000</v>
      </c>
      <c r="V98" s="10">
        <v>4000</v>
      </c>
      <c r="W98" s="10">
        <v>4000</v>
      </c>
      <c r="X98" s="10">
        <v>4000</v>
      </c>
      <c r="Y98" s="10">
        <f t="shared" si="1"/>
        <v>48000</v>
      </c>
    </row>
    <row r="99" spans="1:25" s="9" customFormat="1" ht="11.25" customHeight="1">
      <c r="A99" s="9">
        <v>2014</v>
      </c>
      <c r="B99" s="9" t="s">
        <v>573</v>
      </c>
      <c r="C99" s="9" t="s">
        <v>7</v>
      </c>
      <c r="D99" s="9" t="s">
        <v>7</v>
      </c>
      <c r="E99" s="9" t="s">
        <v>12</v>
      </c>
      <c r="F99" s="9" t="s">
        <v>237</v>
      </c>
      <c r="G99" s="9" t="s">
        <v>439</v>
      </c>
      <c r="H99" s="9" t="s">
        <v>12</v>
      </c>
      <c r="I99" s="9" t="s">
        <v>12</v>
      </c>
      <c r="J99" s="9" t="s">
        <v>61</v>
      </c>
      <c r="M99" s="10">
        <v>10000</v>
      </c>
      <c r="N99" s="10">
        <v>10000</v>
      </c>
      <c r="O99" s="10">
        <v>10000</v>
      </c>
      <c r="P99" s="10">
        <v>10000</v>
      </c>
      <c r="Q99" s="10">
        <v>10000</v>
      </c>
      <c r="R99" s="10">
        <v>10000</v>
      </c>
      <c r="S99" s="10">
        <v>10000</v>
      </c>
      <c r="T99" s="10">
        <v>10000</v>
      </c>
      <c r="U99" s="10">
        <v>10000</v>
      </c>
      <c r="V99" s="10">
        <v>10000</v>
      </c>
      <c r="W99" s="10">
        <v>10000</v>
      </c>
      <c r="X99" s="10">
        <v>10000</v>
      </c>
      <c r="Y99" s="10">
        <f t="shared" si="1"/>
        <v>120000</v>
      </c>
    </row>
    <row r="100" spans="1:25" s="9" customFormat="1" ht="11.25" customHeight="1">
      <c r="A100" s="9">
        <v>2014</v>
      </c>
      <c r="B100" s="9" t="s">
        <v>573</v>
      </c>
      <c r="C100" s="9" t="s">
        <v>7</v>
      </c>
      <c r="D100" s="9" t="s">
        <v>7</v>
      </c>
      <c r="E100" s="9" t="s">
        <v>148</v>
      </c>
      <c r="F100" s="9" t="s">
        <v>213</v>
      </c>
      <c r="G100" s="9" t="s">
        <v>439</v>
      </c>
      <c r="H100" s="9" t="s">
        <v>148</v>
      </c>
      <c r="I100" s="9" t="s">
        <v>148</v>
      </c>
      <c r="J100" s="9" t="s">
        <v>148</v>
      </c>
      <c r="M100" s="10">
        <v>30738</v>
      </c>
      <c r="N100" s="10">
        <v>30738</v>
      </c>
      <c r="O100" s="10">
        <v>30738</v>
      </c>
      <c r="P100" s="10">
        <v>30738</v>
      </c>
      <c r="Q100" s="10">
        <v>30738</v>
      </c>
      <c r="R100" s="10">
        <v>30738</v>
      </c>
      <c r="S100" s="10">
        <v>30738</v>
      </c>
      <c r="T100" s="10">
        <v>30738</v>
      </c>
      <c r="U100" s="10">
        <v>30738</v>
      </c>
      <c r="V100" s="10">
        <v>30738</v>
      </c>
      <c r="W100" s="10">
        <v>30738</v>
      </c>
      <c r="X100" s="10">
        <v>30738</v>
      </c>
      <c r="Y100" s="10">
        <f t="shared" si="1"/>
        <v>368856</v>
      </c>
    </row>
    <row r="101" spans="1:25" s="9" customFormat="1" ht="11.25" customHeight="1">
      <c r="A101" s="9">
        <v>2014</v>
      </c>
      <c r="B101" s="9" t="s">
        <v>573</v>
      </c>
      <c r="C101" s="9" t="s">
        <v>7</v>
      </c>
      <c r="D101" s="9" t="s">
        <v>7</v>
      </c>
      <c r="E101" s="9" t="s">
        <v>27</v>
      </c>
      <c r="F101" s="9" t="s">
        <v>213</v>
      </c>
      <c r="G101" s="9" t="s">
        <v>439</v>
      </c>
      <c r="H101" s="9" t="s">
        <v>27</v>
      </c>
      <c r="I101" s="9" t="s">
        <v>27</v>
      </c>
      <c r="J101" s="9" t="s">
        <v>28</v>
      </c>
      <c r="M101" s="10">
        <v>100</v>
      </c>
      <c r="N101" s="10">
        <v>100</v>
      </c>
      <c r="O101" s="10">
        <v>100</v>
      </c>
      <c r="P101" s="10">
        <v>100</v>
      </c>
      <c r="Q101" s="10">
        <v>100</v>
      </c>
      <c r="R101" s="10">
        <v>100</v>
      </c>
      <c r="S101" s="10">
        <v>100</v>
      </c>
      <c r="T101" s="10">
        <v>100</v>
      </c>
      <c r="U101" s="10">
        <v>100</v>
      </c>
      <c r="V101" s="10">
        <v>100</v>
      </c>
      <c r="W101" s="10">
        <v>100</v>
      </c>
      <c r="X101" s="10">
        <v>100</v>
      </c>
      <c r="Y101" s="10">
        <f t="shared" si="1"/>
        <v>1200</v>
      </c>
    </row>
    <row r="102" spans="1:25" s="9" customFormat="1" ht="11.25" customHeight="1">
      <c r="A102" s="9">
        <v>2014</v>
      </c>
      <c r="B102" s="9" t="s">
        <v>573</v>
      </c>
      <c r="C102" s="9" t="s">
        <v>7</v>
      </c>
      <c r="D102" s="9" t="s">
        <v>7</v>
      </c>
      <c r="E102" s="9" t="s">
        <v>22</v>
      </c>
      <c r="F102" s="9" t="s">
        <v>213</v>
      </c>
      <c r="G102" s="9" t="s">
        <v>439</v>
      </c>
      <c r="H102" s="9" t="s">
        <v>22</v>
      </c>
      <c r="I102" s="9" t="s">
        <v>145</v>
      </c>
      <c r="J102" s="9" t="s">
        <v>146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>
        <f t="shared" si="1"/>
        <v>0</v>
      </c>
    </row>
    <row r="103" spans="1:25" s="9" customFormat="1" ht="11.25" customHeight="1">
      <c r="A103" s="9">
        <v>2014</v>
      </c>
      <c r="B103" s="9" t="s">
        <v>573</v>
      </c>
      <c r="C103" s="9" t="s">
        <v>7</v>
      </c>
      <c r="D103" s="9" t="s">
        <v>54</v>
      </c>
      <c r="E103" s="9" t="s">
        <v>55</v>
      </c>
      <c r="F103" s="9" t="s">
        <v>213</v>
      </c>
      <c r="G103" s="9" t="s">
        <v>439</v>
      </c>
      <c r="H103" s="9" t="s">
        <v>54</v>
      </c>
      <c r="I103" s="9" t="s">
        <v>55</v>
      </c>
      <c r="J103" s="9" t="s">
        <v>219</v>
      </c>
      <c r="M103" s="10">
        <v>100000</v>
      </c>
      <c r="N103" s="10">
        <v>100000</v>
      </c>
      <c r="O103" s="10"/>
      <c r="P103" s="10"/>
      <c r="Q103" s="10"/>
      <c r="R103" s="10"/>
      <c r="S103" s="10"/>
      <c r="T103" s="10">
        <v>100000</v>
      </c>
      <c r="U103" s="10"/>
      <c r="V103" s="10"/>
      <c r="W103" s="10"/>
      <c r="X103" s="10"/>
      <c r="Y103" s="10">
        <f t="shared" si="1"/>
        <v>300000</v>
      </c>
    </row>
    <row r="104" spans="1:25" s="9" customFormat="1" ht="11.25" customHeight="1">
      <c r="A104" s="9">
        <v>2014</v>
      </c>
      <c r="B104" s="9" t="s">
        <v>573</v>
      </c>
      <c r="C104" s="9" t="s">
        <v>7</v>
      </c>
      <c r="D104" s="9" t="s">
        <v>7</v>
      </c>
      <c r="E104" s="9" t="s">
        <v>149</v>
      </c>
      <c r="F104" s="9" t="s">
        <v>213</v>
      </c>
      <c r="G104" s="9" t="s">
        <v>439</v>
      </c>
      <c r="H104" s="9" t="s">
        <v>149</v>
      </c>
      <c r="I104" s="9" t="s">
        <v>149</v>
      </c>
      <c r="J104" s="9" t="s">
        <v>150</v>
      </c>
      <c r="M104" s="10">
        <v>2676.96</v>
      </c>
      <c r="N104" s="10">
        <v>2676.96</v>
      </c>
      <c r="O104" s="10">
        <v>2676.96</v>
      </c>
      <c r="P104" s="10">
        <v>2676.96</v>
      </c>
      <c r="Q104" s="10">
        <v>2676.96</v>
      </c>
      <c r="R104" s="10">
        <v>2676.96</v>
      </c>
      <c r="S104" s="10">
        <v>2676.96</v>
      </c>
      <c r="T104" s="10">
        <v>2676.96</v>
      </c>
      <c r="U104" s="10">
        <v>2676.96</v>
      </c>
      <c r="V104" s="10">
        <v>2676.96</v>
      </c>
      <c r="W104" s="10">
        <v>2676.96</v>
      </c>
      <c r="X104" s="10">
        <v>2676.96</v>
      </c>
      <c r="Y104" s="10">
        <f t="shared" si="1"/>
        <v>32123.519999999993</v>
      </c>
    </row>
    <row r="105" spans="1:25" s="9" customFormat="1" ht="11.25" customHeight="1">
      <c r="A105" s="9">
        <v>2014</v>
      </c>
      <c r="B105" s="9" t="s">
        <v>573</v>
      </c>
      <c r="C105" s="9" t="s">
        <v>7</v>
      </c>
      <c r="D105" s="9" t="s">
        <v>7</v>
      </c>
      <c r="E105" s="9" t="s">
        <v>29</v>
      </c>
      <c r="F105" s="9" t="s">
        <v>213</v>
      </c>
      <c r="G105" s="9" t="s">
        <v>439</v>
      </c>
      <c r="H105" s="9" t="s">
        <v>29</v>
      </c>
      <c r="I105" s="9" t="s">
        <v>29</v>
      </c>
      <c r="J105" s="9" t="s">
        <v>95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>
        <f t="shared" si="1"/>
        <v>0</v>
      </c>
    </row>
    <row r="106" spans="1:25" s="9" customFormat="1" ht="11.25" customHeight="1">
      <c r="A106" s="9">
        <v>2014</v>
      </c>
      <c r="B106" s="9" t="s">
        <v>573</v>
      </c>
      <c r="C106" s="9" t="s">
        <v>7</v>
      </c>
      <c r="D106" s="9" t="s">
        <v>7</v>
      </c>
      <c r="E106" s="9" t="s">
        <v>12</v>
      </c>
      <c r="F106" s="9" t="s">
        <v>213</v>
      </c>
      <c r="G106" s="9" t="s">
        <v>439</v>
      </c>
      <c r="H106" s="9" t="s">
        <v>12</v>
      </c>
      <c r="I106" s="9" t="s">
        <v>12</v>
      </c>
      <c r="J106" s="9" t="s">
        <v>13</v>
      </c>
      <c r="K106" s="9" t="s">
        <v>214</v>
      </c>
      <c r="M106" s="10">
        <v>540</v>
      </c>
      <c r="N106" s="10">
        <v>540</v>
      </c>
      <c r="O106" s="10">
        <v>540</v>
      </c>
      <c r="P106" s="10">
        <v>540</v>
      </c>
      <c r="Q106" s="10">
        <v>540</v>
      </c>
      <c r="R106" s="10">
        <v>540</v>
      </c>
      <c r="S106" s="10">
        <v>540</v>
      </c>
      <c r="T106" s="10">
        <v>540</v>
      </c>
      <c r="U106" s="10">
        <v>540</v>
      </c>
      <c r="V106" s="10">
        <v>540</v>
      </c>
      <c r="W106" s="10">
        <v>540</v>
      </c>
      <c r="X106" s="10">
        <v>540</v>
      </c>
      <c r="Y106" s="10">
        <f t="shared" si="1"/>
        <v>6480</v>
      </c>
    </row>
    <row r="107" spans="1:25" s="9" customFormat="1" ht="11.25" customHeight="1">
      <c r="A107" s="9">
        <v>2014</v>
      </c>
      <c r="B107" s="9" t="s">
        <v>573</v>
      </c>
      <c r="C107" s="9" t="s">
        <v>7</v>
      </c>
      <c r="D107" s="9" t="s">
        <v>7</v>
      </c>
      <c r="E107" s="9" t="s">
        <v>12</v>
      </c>
      <c r="F107" s="9" t="s">
        <v>213</v>
      </c>
      <c r="G107" s="9" t="s">
        <v>439</v>
      </c>
      <c r="H107" s="9" t="s">
        <v>12</v>
      </c>
      <c r="I107" s="9" t="s">
        <v>12</v>
      </c>
      <c r="J107" s="9" t="s">
        <v>13</v>
      </c>
      <c r="K107" s="9" t="s">
        <v>216</v>
      </c>
      <c r="M107" s="10">
        <v>540</v>
      </c>
      <c r="N107" s="10">
        <v>540</v>
      </c>
      <c r="O107" s="10">
        <v>540</v>
      </c>
      <c r="P107" s="10">
        <v>540</v>
      </c>
      <c r="Q107" s="10">
        <v>540</v>
      </c>
      <c r="R107" s="10">
        <v>540</v>
      </c>
      <c r="S107" s="10">
        <v>540</v>
      </c>
      <c r="T107" s="10">
        <v>540</v>
      </c>
      <c r="U107" s="10">
        <v>540</v>
      </c>
      <c r="V107" s="10">
        <v>540</v>
      </c>
      <c r="W107" s="10">
        <v>540</v>
      </c>
      <c r="X107" s="10">
        <v>540</v>
      </c>
      <c r="Y107" s="10">
        <f t="shared" si="1"/>
        <v>6480</v>
      </c>
    </row>
    <row r="108" spans="1:25" s="9" customFormat="1" ht="11.25" customHeight="1">
      <c r="A108" s="9">
        <v>2014</v>
      </c>
      <c r="B108" s="9" t="s">
        <v>573</v>
      </c>
      <c r="C108" s="9" t="s">
        <v>7</v>
      </c>
      <c r="D108" s="9" t="s">
        <v>7</v>
      </c>
      <c r="E108" s="9" t="s">
        <v>12</v>
      </c>
      <c r="F108" s="9" t="s">
        <v>213</v>
      </c>
      <c r="G108" s="9" t="s">
        <v>439</v>
      </c>
      <c r="H108" s="9" t="s">
        <v>12</v>
      </c>
      <c r="I108" s="9" t="s">
        <v>12</v>
      </c>
      <c r="J108" s="9" t="s">
        <v>13</v>
      </c>
      <c r="K108" s="9" t="s">
        <v>215</v>
      </c>
      <c r="M108" s="10">
        <v>540</v>
      </c>
      <c r="N108" s="10">
        <v>540</v>
      </c>
      <c r="O108" s="10">
        <v>540</v>
      </c>
      <c r="P108" s="10">
        <v>540</v>
      </c>
      <c r="Q108" s="10">
        <v>540</v>
      </c>
      <c r="R108" s="10">
        <v>540</v>
      </c>
      <c r="S108" s="10">
        <v>540</v>
      </c>
      <c r="T108" s="10">
        <v>540</v>
      </c>
      <c r="U108" s="10">
        <v>540</v>
      </c>
      <c r="V108" s="10">
        <v>540</v>
      </c>
      <c r="W108" s="10">
        <v>540</v>
      </c>
      <c r="X108" s="10">
        <v>540</v>
      </c>
      <c r="Y108" s="10">
        <f t="shared" si="1"/>
        <v>6480</v>
      </c>
    </row>
    <row r="109" spans="1:25" s="9" customFormat="1" ht="11.25" customHeight="1">
      <c r="A109" s="9">
        <v>2014</v>
      </c>
      <c r="B109" s="9" t="s">
        <v>573</v>
      </c>
      <c r="C109" s="9" t="s">
        <v>7</v>
      </c>
      <c r="D109" s="9" t="s">
        <v>7</v>
      </c>
      <c r="E109" s="9" t="s">
        <v>12</v>
      </c>
      <c r="F109" s="9" t="s">
        <v>213</v>
      </c>
      <c r="G109" s="9" t="s">
        <v>439</v>
      </c>
      <c r="H109" s="9" t="s">
        <v>12</v>
      </c>
      <c r="I109" s="9" t="s">
        <v>12</v>
      </c>
      <c r="J109" s="9" t="s">
        <v>13</v>
      </c>
      <c r="K109" s="9" t="s">
        <v>217</v>
      </c>
      <c r="M109" s="10">
        <v>540</v>
      </c>
      <c r="N109" s="10">
        <v>540</v>
      </c>
      <c r="O109" s="10">
        <v>540</v>
      </c>
      <c r="P109" s="10">
        <v>540</v>
      </c>
      <c r="Q109" s="10">
        <v>540</v>
      </c>
      <c r="R109" s="10">
        <v>540</v>
      </c>
      <c r="S109" s="10">
        <v>540</v>
      </c>
      <c r="T109" s="10">
        <v>540</v>
      </c>
      <c r="U109" s="10">
        <v>540</v>
      </c>
      <c r="V109" s="10">
        <v>540</v>
      </c>
      <c r="W109" s="10">
        <v>540</v>
      </c>
      <c r="X109" s="10">
        <v>540</v>
      </c>
      <c r="Y109" s="10">
        <f t="shared" si="1"/>
        <v>6480</v>
      </c>
    </row>
    <row r="110" spans="1:25" s="9" customFormat="1" ht="11.25" customHeight="1">
      <c r="A110" s="9">
        <v>2014</v>
      </c>
      <c r="B110" s="9" t="s">
        <v>573</v>
      </c>
      <c r="C110" s="9" t="s">
        <v>7</v>
      </c>
      <c r="D110" s="9" t="s">
        <v>7</v>
      </c>
      <c r="E110" s="9" t="s">
        <v>148</v>
      </c>
      <c r="F110" s="9" t="s">
        <v>239</v>
      </c>
      <c r="G110" s="9" t="s">
        <v>439</v>
      </c>
      <c r="H110" s="9" t="s">
        <v>148</v>
      </c>
      <c r="I110" s="9" t="s">
        <v>148</v>
      </c>
      <c r="J110" s="9" t="s">
        <v>148</v>
      </c>
      <c r="M110" s="10">
        <v>24950</v>
      </c>
      <c r="N110" s="10">
        <v>24950</v>
      </c>
      <c r="O110" s="10">
        <v>24950</v>
      </c>
      <c r="P110" s="10">
        <v>24950</v>
      </c>
      <c r="Q110" s="10">
        <v>24950</v>
      </c>
      <c r="R110" s="10">
        <v>24950</v>
      </c>
      <c r="S110" s="10">
        <v>24950</v>
      </c>
      <c r="T110" s="10">
        <v>24950</v>
      </c>
      <c r="U110" s="10">
        <v>24950</v>
      </c>
      <c r="V110" s="10">
        <v>24950</v>
      </c>
      <c r="W110" s="10">
        <v>24950</v>
      </c>
      <c r="X110" s="10">
        <v>24950</v>
      </c>
      <c r="Y110" s="10">
        <f t="shared" si="1"/>
        <v>299400</v>
      </c>
    </row>
    <row r="111" spans="1:25" s="9" customFormat="1" ht="11.25" customHeight="1">
      <c r="A111" s="9">
        <v>2014</v>
      </c>
      <c r="B111" s="9" t="s">
        <v>573</v>
      </c>
      <c r="C111" s="9" t="s">
        <v>7</v>
      </c>
      <c r="D111" s="9" t="s">
        <v>7</v>
      </c>
      <c r="E111" s="9" t="s">
        <v>37</v>
      </c>
      <c r="F111" s="9" t="s">
        <v>239</v>
      </c>
      <c r="G111" s="9" t="s">
        <v>439</v>
      </c>
      <c r="H111" s="9" t="s">
        <v>37</v>
      </c>
      <c r="I111" s="9" t="s">
        <v>37</v>
      </c>
      <c r="J111" s="9" t="s">
        <v>37</v>
      </c>
      <c r="M111" s="10">
        <v>300</v>
      </c>
      <c r="N111" s="10">
        <v>300</v>
      </c>
      <c r="O111" s="10">
        <v>300</v>
      </c>
      <c r="P111" s="10">
        <v>300</v>
      </c>
      <c r="Q111" s="10">
        <v>300</v>
      </c>
      <c r="R111" s="10">
        <v>300</v>
      </c>
      <c r="S111" s="10">
        <v>300</v>
      </c>
      <c r="T111" s="10">
        <v>300</v>
      </c>
      <c r="U111" s="10">
        <v>300</v>
      </c>
      <c r="V111" s="10">
        <v>300</v>
      </c>
      <c r="W111" s="10">
        <v>300</v>
      </c>
      <c r="X111" s="10">
        <v>300</v>
      </c>
      <c r="Y111" s="10">
        <f t="shared" si="1"/>
        <v>3600</v>
      </c>
    </row>
    <row r="112" spans="1:25" s="9" customFormat="1" ht="11.25" customHeight="1">
      <c r="A112" s="9">
        <v>2014</v>
      </c>
      <c r="B112" s="9" t="s">
        <v>573</v>
      </c>
      <c r="C112" s="9" t="s">
        <v>7</v>
      </c>
      <c r="D112" s="9" t="s">
        <v>7</v>
      </c>
      <c r="E112" s="9" t="s">
        <v>27</v>
      </c>
      <c r="F112" s="9" t="s">
        <v>239</v>
      </c>
      <c r="G112" s="9" t="s">
        <v>439</v>
      </c>
      <c r="H112" s="9" t="s">
        <v>27</v>
      </c>
      <c r="I112" s="9" t="s">
        <v>27</v>
      </c>
      <c r="J112" s="9" t="s">
        <v>28</v>
      </c>
      <c r="M112" s="10">
        <v>200</v>
      </c>
      <c r="N112" s="10">
        <v>200</v>
      </c>
      <c r="O112" s="10">
        <v>200</v>
      </c>
      <c r="P112" s="10">
        <v>200</v>
      </c>
      <c r="Q112" s="10">
        <v>200</v>
      </c>
      <c r="R112" s="10">
        <v>200</v>
      </c>
      <c r="S112" s="10">
        <v>200</v>
      </c>
      <c r="T112" s="10">
        <v>200</v>
      </c>
      <c r="U112" s="10">
        <v>200</v>
      </c>
      <c r="V112" s="10">
        <v>200</v>
      </c>
      <c r="W112" s="10">
        <v>200</v>
      </c>
      <c r="X112" s="10">
        <v>200</v>
      </c>
      <c r="Y112" s="10">
        <f t="shared" si="1"/>
        <v>2400</v>
      </c>
    </row>
    <row r="113" spans="1:25" s="9" customFormat="1" ht="11.25" customHeight="1">
      <c r="A113" s="9">
        <v>2014</v>
      </c>
      <c r="B113" s="9" t="s">
        <v>573</v>
      </c>
      <c r="C113" s="9" t="s">
        <v>7</v>
      </c>
      <c r="D113" s="9" t="s">
        <v>7</v>
      </c>
      <c r="E113" s="9" t="s">
        <v>57</v>
      </c>
      <c r="F113" s="9" t="s">
        <v>239</v>
      </c>
      <c r="G113" s="9" t="s">
        <v>439</v>
      </c>
      <c r="H113" s="9" t="s">
        <v>57</v>
      </c>
      <c r="I113" s="9" t="s">
        <v>57</v>
      </c>
      <c r="J113" s="9" t="s">
        <v>241</v>
      </c>
      <c r="M113" s="10">
        <v>3000</v>
      </c>
      <c r="N113" s="10">
        <v>3000</v>
      </c>
      <c r="O113" s="10">
        <v>3000</v>
      </c>
      <c r="P113" s="10">
        <v>3000</v>
      </c>
      <c r="Q113" s="10">
        <v>3000</v>
      </c>
      <c r="R113" s="10">
        <v>3000</v>
      </c>
      <c r="S113" s="10">
        <v>3000</v>
      </c>
      <c r="T113" s="10">
        <v>3000</v>
      </c>
      <c r="U113" s="10">
        <v>3000</v>
      </c>
      <c r="V113" s="10">
        <v>3000</v>
      </c>
      <c r="W113" s="10">
        <v>3000</v>
      </c>
      <c r="X113" s="10">
        <v>3000</v>
      </c>
      <c r="Y113" s="10">
        <f t="shared" si="1"/>
        <v>36000</v>
      </c>
    </row>
    <row r="114" spans="1:25" s="9" customFormat="1" ht="11.25" customHeight="1">
      <c r="A114" s="9">
        <v>2014</v>
      </c>
      <c r="B114" s="9" t="s">
        <v>573</v>
      </c>
      <c r="C114" s="9" t="s">
        <v>7</v>
      </c>
      <c r="D114" s="9" t="s">
        <v>7</v>
      </c>
      <c r="E114" s="9" t="s">
        <v>57</v>
      </c>
      <c r="F114" s="9" t="s">
        <v>239</v>
      </c>
      <c r="G114" s="9" t="s">
        <v>439</v>
      </c>
      <c r="H114" s="9" t="s">
        <v>57</v>
      </c>
      <c r="I114" s="9" t="s">
        <v>57</v>
      </c>
      <c r="J114" s="9" t="s">
        <v>244</v>
      </c>
      <c r="M114" s="10">
        <v>5000</v>
      </c>
      <c r="N114" s="10"/>
      <c r="O114" s="10">
        <v>15000</v>
      </c>
      <c r="P114" s="10"/>
      <c r="Q114" s="10">
        <v>5500</v>
      </c>
      <c r="R114" s="10"/>
      <c r="S114" s="10"/>
      <c r="T114" s="10">
        <v>65000</v>
      </c>
      <c r="U114" s="10"/>
      <c r="V114" s="10">
        <v>6000</v>
      </c>
      <c r="W114" s="10">
        <v>5000</v>
      </c>
      <c r="X114" s="10">
        <v>5000</v>
      </c>
      <c r="Y114" s="10">
        <f t="shared" si="1"/>
        <v>106500</v>
      </c>
    </row>
    <row r="115" spans="1:25" s="9" customFormat="1" ht="11.25" customHeight="1">
      <c r="A115" s="9">
        <v>2014</v>
      </c>
      <c r="B115" s="9" t="s">
        <v>573</v>
      </c>
      <c r="C115" s="9" t="s">
        <v>7</v>
      </c>
      <c r="D115" s="9" t="s">
        <v>54</v>
      </c>
      <c r="E115" s="9" t="s">
        <v>55</v>
      </c>
      <c r="F115" s="9" t="s">
        <v>239</v>
      </c>
      <c r="G115" s="9" t="s">
        <v>439</v>
      </c>
      <c r="H115" s="9" t="s">
        <v>54</v>
      </c>
      <c r="I115" s="9" t="s">
        <v>55</v>
      </c>
      <c r="J115" s="9" t="s">
        <v>56</v>
      </c>
      <c r="M115" s="10">
        <v>1000</v>
      </c>
      <c r="N115" s="10">
        <v>1000</v>
      </c>
      <c r="O115" s="10">
        <v>1000</v>
      </c>
      <c r="P115" s="10">
        <v>1000</v>
      </c>
      <c r="Q115" s="10">
        <v>1000</v>
      </c>
      <c r="R115" s="10">
        <v>1000</v>
      </c>
      <c r="S115" s="10">
        <v>1000</v>
      </c>
      <c r="T115" s="10">
        <v>1000</v>
      </c>
      <c r="U115" s="10">
        <v>1000</v>
      </c>
      <c r="V115" s="10">
        <v>1000</v>
      </c>
      <c r="W115" s="10">
        <v>1000</v>
      </c>
      <c r="X115" s="10">
        <v>1000</v>
      </c>
      <c r="Y115" s="10">
        <f t="shared" si="1"/>
        <v>12000</v>
      </c>
    </row>
    <row r="116" spans="1:25" s="9" customFormat="1" ht="11.25" customHeight="1">
      <c r="A116" s="9">
        <v>2014</v>
      </c>
      <c r="B116" s="9" t="s">
        <v>573</v>
      </c>
      <c r="C116" s="9" t="s">
        <v>7</v>
      </c>
      <c r="D116" s="9" t="s">
        <v>54</v>
      </c>
      <c r="E116" s="9" t="s">
        <v>55</v>
      </c>
      <c r="F116" s="9" t="s">
        <v>239</v>
      </c>
      <c r="G116" s="9" t="s">
        <v>439</v>
      </c>
      <c r="H116" s="9" t="s">
        <v>54</v>
      </c>
      <c r="I116" s="9" t="s">
        <v>55</v>
      </c>
      <c r="J116" s="9" t="s">
        <v>243</v>
      </c>
      <c r="M116" s="10">
        <v>2000</v>
      </c>
      <c r="N116" s="10">
        <v>2000</v>
      </c>
      <c r="O116" s="10">
        <v>2000</v>
      </c>
      <c r="P116" s="10">
        <v>2000</v>
      </c>
      <c r="Q116" s="10">
        <v>2000</v>
      </c>
      <c r="R116" s="10">
        <v>2000</v>
      </c>
      <c r="S116" s="10">
        <v>5000</v>
      </c>
      <c r="T116" s="10">
        <v>2000</v>
      </c>
      <c r="U116" s="10">
        <v>2000</v>
      </c>
      <c r="V116" s="10">
        <v>3000</v>
      </c>
      <c r="W116" s="10">
        <v>3500</v>
      </c>
      <c r="X116" s="10">
        <v>3500</v>
      </c>
      <c r="Y116" s="10">
        <f t="shared" si="1"/>
        <v>31000</v>
      </c>
    </row>
    <row r="117" spans="1:25" s="9" customFormat="1" ht="11.25" customHeight="1">
      <c r="A117" s="9">
        <v>2014</v>
      </c>
      <c r="B117" s="9" t="s">
        <v>573</v>
      </c>
      <c r="C117" s="9" t="s">
        <v>7</v>
      </c>
      <c r="D117" s="9" t="s">
        <v>7</v>
      </c>
      <c r="E117" s="9" t="s">
        <v>149</v>
      </c>
      <c r="F117" s="9" t="s">
        <v>239</v>
      </c>
      <c r="G117" s="9" t="s">
        <v>439</v>
      </c>
      <c r="H117" s="9" t="s">
        <v>149</v>
      </c>
      <c r="I117" s="9" t="s">
        <v>149</v>
      </c>
      <c r="J117" s="9" t="s">
        <v>150</v>
      </c>
      <c r="M117" s="10">
        <v>2520.8000000000002</v>
      </c>
      <c r="N117" s="10">
        <v>2520.8000000000002</v>
      </c>
      <c r="O117" s="10">
        <v>2520.8000000000002</v>
      </c>
      <c r="P117" s="10">
        <v>2520.8000000000002</v>
      </c>
      <c r="Q117" s="10">
        <v>2520.8000000000002</v>
      </c>
      <c r="R117" s="10">
        <v>2520.8000000000002</v>
      </c>
      <c r="S117" s="10">
        <v>2520.8000000000002</v>
      </c>
      <c r="T117" s="10">
        <v>2520.8000000000002</v>
      </c>
      <c r="U117" s="10">
        <v>2520.8000000000002</v>
      </c>
      <c r="V117" s="10">
        <v>2520.8000000000002</v>
      </c>
      <c r="W117" s="10">
        <v>2520.8000000000002</v>
      </c>
      <c r="X117" s="10">
        <v>2520.8000000000002</v>
      </c>
      <c r="Y117" s="10">
        <f t="shared" si="1"/>
        <v>30249.599999999995</v>
      </c>
    </row>
    <row r="118" spans="1:25" s="9" customFormat="1" ht="11.25" customHeight="1">
      <c r="A118" s="9">
        <v>2014</v>
      </c>
      <c r="B118" s="9" t="s">
        <v>573</v>
      </c>
      <c r="C118" s="9" t="s">
        <v>7</v>
      </c>
      <c r="D118" s="9" t="s">
        <v>7</v>
      </c>
      <c r="E118" s="9" t="s">
        <v>18</v>
      </c>
      <c r="F118" s="9" t="s">
        <v>239</v>
      </c>
      <c r="G118" s="9" t="s">
        <v>439</v>
      </c>
      <c r="H118" s="9" t="s">
        <v>18</v>
      </c>
      <c r="I118" s="9" t="s">
        <v>18</v>
      </c>
      <c r="J118" s="9" t="s">
        <v>43</v>
      </c>
      <c r="M118" s="10">
        <v>200</v>
      </c>
      <c r="N118" s="10">
        <v>200</v>
      </c>
      <c r="O118" s="10">
        <v>200</v>
      </c>
      <c r="P118" s="10">
        <v>200</v>
      </c>
      <c r="Q118" s="10">
        <v>200</v>
      </c>
      <c r="R118" s="10">
        <v>200</v>
      </c>
      <c r="S118" s="10">
        <v>200</v>
      </c>
      <c r="T118" s="10">
        <v>200</v>
      </c>
      <c r="U118" s="10">
        <v>200</v>
      </c>
      <c r="V118" s="10">
        <v>200</v>
      </c>
      <c r="W118" s="10">
        <v>200</v>
      </c>
      <c r="X118" s="10">
        <v>200</v>
      </c>
      <c r="Y118" s="10">
        <f t="shared" si="1"/>
        <v>2400</v>
      </c>
    </row>
    <row r="119" spans="1:25" s="9" customFormat="1" ht="11.25" customHeight="1">
      <c r="A119" s="9">
        <v>2014</v>
      </c>
      <c r="B119" s="9" t="s">
        <v>573</v>
      </c>
      <c r="C119" s="9" t="s">
        <v>7</v>
      </c>
      <c r="D119" s="9" t="s">
        <v>7</v>
      </c>
      <c r="E119" s="9" t="s">
        <v>12</v>
      </c>
      <c r="F119" s="9" t="s">
        <v>239</v>
      </c>
      <c r="G119" s="9" t="s">
        <v>439</v>
      </c>
      <c r="H119" s="9" t="s">
        <v>12</v>
      </c>
      <c r="I119" s="9" t="s">
        <v>12</v>
      </c>
      <c r="J119" s="9" t="s">
        <v>13</v>
      </c>
      <c r="K119" s="9" t="s">
        <v>242</v>
      </c>
      <c r="M119" s="10">
        <v>62</v>
      </c>
      <c r="N119" s="10">
        <v>62</v>
      </c>
      <c r="O119" s="10">
        <v>62</v>
      </c>
      <c r="P119" s="10">
        <v>62</v>
      </c>
      <c r="Q119" s="10">
        <v>62</v>
      </c>
      <c r="R119" s="10">
        <v>62</v>
      </c>
      <c r="S119" s="10">
        <v>62</v>
      </c>
      <c r="T119" s="10">
        <v>62</v>
      </c>
      <c r="U119" s="10">
        <v>62</v>
      </c>
      <c r="V119" s="10">
        <v>62</v>
      </c>
      <c r="W119" s="10">
        <v>62</v>
      </c>
      <c r="X119" s="10">
        <v>62</v>
      </c>
      <c r="Y119" s="10">
        <f t="shared" si="1"/>
        <v>744</v>
      </c>
    </row>
    <row r="120" spans="1:25" s="9" customFormat="1" ht="11.25" customHeight="1">
      <c r="A120" s="9">
        <v>2014</v>
      </c>
      <c r="B120" s="9" t="s">
        <v>573</v>
      </c>
      <c r="C120" s="9" t="s">
        <v>7</v>
      </c>
      <c r="D120" s="9" t="s">
        <v>7</v>
      </c>
      <c r="E120" s="9" t="s">
        <v>12</v>
      </c>
      <c r="F120" s="9" t="s">
        <v>239</v>
      </c>
      <c r="G120" s="9" t="s">
        <v>439</v>
      </c>
      <c r="H120" s="9" t="s">
        <v>12</v>
      </c>
      <c r="I120" s="9" t="s">
        <v>12</v>
      </c>
      <c r="J120" s="9" t="s">
        <v>13</v>
      </c>
      <c r="K120" s="9" t="s">
        <v>240</v>
      </c>
      <c r="M120" s="10">
        <v>380</v>
      </c>
      <c r="N120" s="10">
        <v>380</v>
      </c>
      <c r="O120" s="10">
        <v>380</v>
      </c>
      <c r="P120" s="10">
        <v>380</v>
      </c>
      <c r="Q120" s="10">
        <v>380</v>
      </c>
      <c r="R120" s="10">
        <v>380</v>
      </c>
      <c r="S120" s="10">
        <v>380</v>
      </c>
      <c r="T120" s="10">
        <v>380</v>
      </c>
      <c r="U120" s="10">
        <v>380</v>
      </c>
      <c r="V120" s="10">
        <v>380</v>
      </c>
      <c r="W120" s="10">
        <v>380</v>
      </c>
      <c r="X120" s="10">
        <v>380</v>
      </c>
      <c r="Y120" s="10">
        <f t="shared" si="1"/>
        <v>4560</v>
      </c>
    </row>
    <row r="121" spans="1:25" s="9" customFormat="1" ht="11.25" customHeight="1">
      <c r="A121" s="9">
        <v>2014</v>
      </c>
      <c r="B121" s="9" t="s">
        <v>573</v>
      </c>
      <c r="C121" s="9" t="s">
        <v>7</v>
      </c>
      <c r="D121" s="9" t="s">
        <v>7</v>
      </c>
      <c r="E121" s="9" t="s">
        <v>148</v>
      </c>
      <c r="F121" s="9" t="s">
        <v>258</v>
      </c>
      <c r="G121" s="9" t="s">
        <v>439</v>
      </c>
      <c r="H121" s="9" t="s">
        <v>148</v>
      </c>
      <c r="I121" s="9" t="s">
        <v>148</v>
      </c>
      <c r="J121" s="9" t="s">
        <v>148</v>
      </c>
      <c r="M121" s="10">
        <v>26560</v>
      </c>
      <c r="N121" s="10">
        <v>26560</v>
      </c>
      <c r="O121" s="10">
        <v>26560</v>
      </c>
      <c r="P121" s="10">
        <v>26560</v>
      </c>
      <c r="Q121" s="10">
        <v>26560</v>
      </c>
      <c r="R121" s="10">
        <v>26560</v>
      </c>
      <c r="S121" s="10">
        <v>26560</v>
      </c>
      <c r="T121" s="10">
        <v>26560</v>
      </c>
      <c r="U121" s="10">
        <v>26560</v>
      </c>
      <c r="V121" s="10">
        <v>26560</v>
      </c>
      <c r="W121" s="10">
        <v>26560</v>
      </c>
      <c r="X121" s="10">
        <v>26560</v>
      </c>
      <c r="Y121" s="10">
        <f t="shared" si="1"/>
        <v>318720</v>
      </c>
    </row>
    <row r="122" spans="1:25" s="9" customFormat="1" ht="11.25" customHeight="1">
      <c r="A122" s="9">
        <v>2014</v>
      </c>
      <c r="B122" s="9" t="s">
        <v>573</v>
      </c>
      <c r="C122" s="9" t="s">
        <v>7</v>
      </c>
      <c r="D122" s="9" t="s">
        <v>7</v>
      </c>
      <c r="E122" s="9" t="s">
        <v>27</v>
      </c>
      <c r="F122" s="9" t="s">
        <v>258</v>
      </c>
      <c r="G122" s="9" t="s">
        <v>439</v>
      </c>
      <c r="H122" s="9" t="s">
        <v>27</v>
      </c>
      <c r="I122" s="9" t="s">
        <v>27</v>
      </c>
      <c r="J122" s="9" t="s">
        <v>28</v>
      </c>
      <c r="M122" s="10">
        <v>350</v>
      </c>
      <c r="N122" s="10">
        <v>350</v>
      </c>
      <c r="O122" s="10">
        <v>400</v>
      </c>
      <c r="P122" s="10">
        <v>400</v>
      </c>
      <c r="Q122" s="10">
        <v>400</v>
      </c>
      <c r="R122" s="10">
        <v>400</v>
      </c>
      <c r="S122" s="10">
        <v>400</v>
      </c>
      <c r="T122" s="10">
        <v>400</v>
      </c>
      <c r="U122" s="10">
        <v>400</v>
      </c>
      <c r="V122" s="10">
        <v>400</v>
      </c>
      <c r="W122" s="10">
        <v>400</v>
      </c>
      <c r="X122" s="10">
        <v>400</v>
      </c>
      <c r="Y122" s="10">
        <f t="shared" si="1"/>
        <v>4700</v>
      </c>
    </row>
    <row r="123" spans="1:25" s="9" customFormat="1" ht="11.25" customHeight="1">
      <c r="A123" s="9">
        <v>2014</v>
      </c>
      <c r="B123" s="9" t="s">
        <v>573</v>
      </c>
      <c r="C123" s="9" t="s">
        <v>7</v>
      </c>
      <c r="D123" s="9" t="s">
        <v>7</v>
      </c>
      <c r="E123" s="9" t="s">
        <v>149</v>
      </c>
      <c r="F123" s="9" t="s">
        <v>258</v>
      </c>
      <c r="G123" s="9" t="s">
        <v>439</v>
      </c>
      <c r="H123" s="9" t="s">
        <v>149</v>
      </c>
      <c r="I123" s="9" t="s">
        <v>149</v>
      </c>
      <c r="J123" s="9" t="s">
        <v>150</v>
      </c>
      <c r="M123" s="10">
        <v>2565.42</v>
      </c>
      <c r="N123" s="10">
        <v>2565.42</v>
      </c>
      <c r="O123" s="10">
        <v>2565.42</v>
      </c>
      <c r="P123" s="10">
        <v>2565.42</v>
      </c>
      <c r="Q123" s="10">
        <v>2565.42</v>
      </c>
      <c r="R123" s="10">
        <v>2565.42</v>
      </c>
      <c r="S123" s="10">
        <v>2565.42</v>
      </c>
      <c r="T123" s="10">
        <v>2565.42</v>
      </c>
      <c r="U123" s="10">
        <v>2565.42</v>
      </c>
      <c r="V123" s="10">
        <v>2565.42</v>
      </c>
      <c r="W123" s="10">
        <v>2565.42</v>
      </c>
      <c r="X123" s="10">
        <v>2565.42</v>
      </c>
      <c r="Y123" s="10">
        <f t="shared" si="1"/>
        <v>30785.039999999994</v>
      </c>
    </row>
    <row r="124" spans="1:25" s="9" customFormat="1" ht="11.25" customHeight="1">
      <c r="A124" s="9">
        <v>2014</v>
      </c>
      <c r="B124" s="9" t="s">
        <v>573</v>
      </c>
      <c r="C124" s="9" t="s">
        <v>7</v>
      </c>
      <c r="D124" s="9" t="s">
        <v>7</v>
      </c>
      <c r="E124" s="9" t="s">
        <v>18</v>
      </c>
      <c r="F124" s="9" t="s">
        <v>258</v>
      </c>
      <c r="G124" s="9" t="s">
        <v>439</v>
      </c>
      <c r="H124" s="9" t="s">
        <v>18</v>
      </c>
      <c r="I124" s="9" t="s">
        <v>18</v>
      </c>
      <c r="J124" s="9" t="s">
        <v>295</v>
      </c>
      <c r="M124" s="10">
        <v>3500</v>
      </c>
      <c r="N124" s="10">
        <v>4000</v>
      </c>
      <c r="O124" s="10">
        <v>15000</v>
      </c>
      <c r="P124" s="10">
        <v>2000</v>
      </c>
      <c r="Q124" s="10">
        <v>2000</v>
      </c>
      <c r="R124" s="10">
        <v>40000</v>
      </c>
      <c r="S124" s="10">
        <v>2000</v>
      </c>
      <c r="T124" s="10">
        <v>2000</v>
      </c>
      <c r="U124" s="10">
        <v>2000</v>
      </c>
      <c r="V124" s="10">
        <v>15000</v>
      </c>
      <c r="W124" s="10">
        <v>2000</v>
      </c>
      <c r="X124" s="10">
        <v>100000</v>
      </c>
      <c r="Y124" s="10">
        <f t="shared" si="1"/>
        <v>189500</v>
      </c>
    </row>
    <row r="125" spans="1:25" s="9" customFormat="1" ht="11.25" customHeight="1">
      <c r="A125" s="9">
        <v>2014</v>
      </c>
      <c r="B125" s="9" t="s">
        <v>573</v>
      </c>
      <c r="C125" s="9" t="s">
        <v>7</v>
      </c>
      <c r="D125" s="9" t="s">
        <v>7</v>
      </c>
      <c r="E125" s="9" t="s">
        <v>18</v>
      </c>
      <c r="F125" s="9" t="s">
        <v>258</v>
      </c>
      <c r="G125" s="9" t="s">
        <v>439</v>
      </c>
      <c r="H125" s="9" t="s">
        <v>18</v>
      </c>
      <c r="I125" s="9" t="s">
        <v>18</v>
      </c>
      <c r="J125" s="9" t="s">
        <v>96</v>
      </c>
      <c r="M125" s="10">
        <v>5000</v>
      </c>
      <c r="N125" s="10">
        <v>10000</v>
      </c>
      <c r="O125" s="10">
        <v>10000</v>
      </c>
      <c r="P125" s="10">
        <v>10000</v>
      </c>
      <c r="Q125" s="10">
        <v>10000</v>
      </c>
      <c r="R125" s="10">
        <v>10000</v>
      </c>
      <c r="S125" s="10">
        <v>10000</v>
      </c>
      <c r="T125" s="10">
        <v>10000</v>
      </c>
      <c r="U125" s="10">
        <v>10000</v>
      </c>
      <c r="V125" s="10">
        <v>10000</v>
      </c>
      <c r="W125" s="10">
        <v>10000</v>
      </c>
      <c r="X125" s="10">
        <v>10000</v>
      </c>
      <c r="Y125" s="10">
        <f t="shared" si="1"/>
        <v>115000</v>
      </c>
    </row>
    <row r="126" spans="1:25" s="9" customFormat="1" ht="11.25" customHeight="1">
      <c r="A126" s="9">
        <v>2014</v>
      </c>
      <c r="B126" s="9" t="s">
        <v>573</v>
      </c>
      <c r="C126" s="9" t="s">
        <v>7</v>
      </c>
      <c r="D126" s="9" t="s">
        <v>7</v>
      </c>
      <c r="E126" s="9" t="s">
        <v>18</v>
      </c>
      <c r="F126" s="9" t="s">
        <v>258</v>
      </c>
      <c r="G126" s="9" t="s">
        <v>439</v>
      </c>
      <c r="H126" s="9" t="s">
        <v>18</v>
      </c>
      <c r="I126" s="9" t="s">
        <v>18</v>
      </c>
      <c r="J126" s="9" t="s">
        <v>296</v>
      </c>
      <c r="M126" s="10">
        <v>4000</v>
      </c>
      <c r="N126" s="10">
        <v>4000</v>
      </c>
      <c r="O126" s="10">
        <v>5000</v>
      </c>
      <c r="P126" s="10">
        <v>5000</v>
      </c>
      <c r="Q126" s="10">
        <v>5000</v>
      </c>
      <c r="R126" s="10">
        <v>5000</v>
      </c>
      <c r="S126" s="10">
        <v>5000</v>
      </c>
      <c r="T126" s="10">
        <v>5000</v>
      </c>
      <c r="U126" s="10">
        <v>5000</v>
      </c>
      <c r="V126" s="10">
        <v>5000</v>
      </c>
      <c r="W126" s="10">
        <v>5000</v>
      </c>
      <c r="X126" s="10">
        <v>5000</v>
      </c>
      <c r="Y126" s="10">
        <f t="shared" si="1"/>
        <v>58000</v>
      </c>
    </row>
    <row r="127" spans="1:25" s="9" customFormat="1" ht="11.25" customHeight="1">
      <c r="A127" s="9">
        <v>2014</v>
      </c>
      <c r="B127" s="9" t="s">
        <v>573</v>
      </c>
      <c r="C127" s="9" t="s">
        <v>7</v>
      </c>
      <c r="D127" s="9" t="s">
        <v>7</v>
      </c>
      <c r="E127" s="9" t="s">
        <v>29</v>
      </c>
      <c r="F127" s="9" t="s">
        <v>258</v>
      </c>
      <c r="G127" s="9" t="s">
        <v>439</v>
      </c>
      <c r="H127" s="9" t="s">
        <v>29</v>
      </c>
      <c r="I127" s="9" t="s">
        <v>29</v>
      </c>
      <c r="J127" s="9" t="s">
        <v>31</v>
      </c>
      <c r="M127" s="10">
        <v>10400</v>
      </c>
      <c r="N127" s="10">
        <v>2700</v>
      </c>
      <c r="O127" s="10">
        <v>2700</v>
      </c>
      <c r="P127" s="10">
        <v>400</v>
      </c>
      <c r="Q127" s="10">
        <v>400</v>
      </c>
      <c r="R127" s="10">
        <v>400</v>
      </c>
      <c r="S127" s="10">
        <v>400</v>
      </c>
      <c r="T127" s="10">
        <v>400</v>
      </c>
      <c r="U127" s="10">
        <v>400</v>
      </c>
      <c r="V127" s="10">
        <v>400</v>
      </c>
      <c r="W127" s="10">
        <v>400</v>
      </c>
      <c r="X127" s="10">
        <v>400</v>
      </c>
      <c r="Y127" s="10">
        <f t="shared" si="1"/>
        <v>19400</v>
      </c>
    </row>
    <row r="128" spans="1:25" s="9" customFormat="1" ht="11.25" customHeight="1">
      <c r="A128" s="9">
        <v>2014</v>
      </c>
      <c r="B128" s="9" t="s">
        <v>573</v>
      </c>
      <c r="C128" s="9" t="s">
        <v>7</v>
      </c>
      <c r="D128" s="9" t="s">
        <v>7</v>
      </c>
      <c r="E128" s="9" t="s">
        <v>12</v>
      </c>
      <c r="F128" s="9" t="s">
        <v>258</v>
      </c>
      <c r="G128" s="9" t="s">
        <v>439</v>
      </c>
      <c r="H128" s="9" t="s">
        <v>12</v>
      </c>
      <c r="I128" s="9" t="s">
        <v>12</v>
      </c>
      <c r="J128" s="9" t="s">
        <v>13</v>
      </c>
      <c r="K128" s="9" t="s">
        <v>294</v>
      </c>
      <c r="M128" s="10">
        <v>380</v>
      </c>
      <c r="N128" s="10">
        <v>380</v>
      </c>
      <c r="O128" s="10">
        <v>380</v>
      </c>
      <c r="P128" s="10">
        <v>380</v>
      </c>
      <c r="Q128" s="10">
        <v>380</v>
      </c>
      <c r="R128" s="10">
        <v>380</v>
      </c>
      <c r="S128" s="10">
        <v>380</v>
      </c>
      <c r="T128" s="10">
        <v>380</v>
      </c>
      <c r="U128" s="10">
        <v>380</v>
      </c>
      <c r="V128" s="10">
        <v>380</v>
      </c>
      <c r="W128" s="10">
        <v>380</v>
      </c>
      <c r="X128" s="10">
        <v>380</v>
      </c>
      <c r="Y128" s="10">
        <f t="shared" si="1"/>
        <v>4560</v>
      </c>
    </row>
    <row r="129" spans="1:25" s="9" customFormat="1" ht="11.25" customHeight="1">
      <c r="A129" s="9">
        <v>2014</v>
      </c>
      <c r="B129" s="9" t="s">
        <v>573</v>
      </c>
      <c r="C129" s="9" t="s">
        <v>7</v>
      </c>
      <c r="D129" s="9" t="s">
        <v>7</v>
      </c>
      <c r="E129" s="9" t="s">
        <v>12</v>
      </c>
      <c r="F129" s="9" t="s">
        <v>258</v>
      </c>
      <c r="G129" s="9" t="s">
        <v>439</v>
      </c>
      <c r="H129" s="9" t="s">
        <v>12</v>
      </c>
      <c r="I129" s="9" t="s">
        <v>12</v>
      </c>
      <c r="J129" s="9" t="s">
        <v>13</v>
      </c>
      <c r="M129" s="10">
        <v>402</v>
      </c>
      <c r="N129" s="10">
        <v>402</v>
      </c>
      <c r="O129" s="10">
        <v>402</v>
      </c>
      <c r="P129" s="10">
        <v>402</v>
      </c>
      <c r="Q129" s="10">
        <v>402</v>
      </c>
      <c r="R129" s="10">
        <v>402</v>
      </c>
      <c r="S129" s="10">
        <v>402</v>
      </c>
      <c r="T129" s="10">
        <v>402</v>
      </c>
      <c r="U129" s="10">
        <v>402</v>
      </c>
      <c r="V129" s="10">
        <v>402</v>
      </c>
      <c r="W129" s="10">
        <v>402</v>
      </c>
      <c r="X129" s="10">
        <v>402</v>
      </c>
      <c r="Y129" s="10">
        <f t="shared" si="1"/>
        <v>4824</v>
      </c>
    </row>
    <row r="130" spans="1:25" s="9" customFormat="1" ht="11.25" customHeight="1">
      <c r="A130" s="9">
        <v>2014</v>
      </c>
      <c r="B130" s="9" t="s">
        <v>573</v>
      </c>
      <c r="C130" s="9" t="s">
        <v>7</v>
      </c>
      <c r="D130" s="9" t="s">
        <v>7</v>
      </c>
      <c r="E130" s="9" t="s">
        <v>148</v>
      </c>
      <c r="F130" s="9" t="s">
        <v>94</v>
      </c>
      <c r="G130" s="9" t="s">
        <v>439</v>
      </c>
      <c r="H130" s="9" t="s">
        <v>148</v>
      </c>
      <c r="I130" s="9" t="s">
        <v>148</v>
      </c>
      <c r="J130" s="9" t="s">
        <v>148</v>
      </c>
      <c r="M130" s="10">
        <v>11533</v>
      </c>
      <c r="N130" s="10">
        <v>11533</v>
      </c>
      <c r="O130" s="10">
        <v>11533</v>
      </c>
      <c r="P130" s="10">
        <v>11533</v>
      </c>
      <c r="Q130" s="10">
        <v>11533</v>
      </c>
      <c r="R130" s="10">
        <v>11533</v>
      </c>
      <c r="S130" s="10">
        <v>11533</v>
      </c>
      <c r="T130" s="10">
        <v>11533</v>
      </c>
      <c r="U130" s="10">
        <v>11533</v>
      </c>
      <c r="V130" s="10">
        <v>11533</v>
      </c>
      <c r="W130" s="10">
        <v>11533</v>
      </c>
      <c r="X130" s="10">
        <v>11533</v>
      </c>
      <c r="Y130" s="10">
        <f t="shared" ref="Y130:Y193" si="2">SUM(M130:X130)</f>
        <v>138396</v>
      </c>
    </row>
    <row r="131" spans="1:25" s="9" customFormat="1" ht="11.25" customHeight="1">
      <c r="A131" s="9">
        <v>2014</v>
      </c>
      <c r="B131" s="9" t="s">
        <v>573</v>
      </c>
      <c r="C131" s="9" t="s">
        <v>7</v>
      </c>
      <c r="D131" s="9" t="s">
        <v>7</v>
      </c>
      <c r="E131" s="9" t="s">
        <v>37</v>
      </c>
      <c r="F131" s="9" t="s">
        <v>94</v>
      </c>
      <c r="G131" s="9" t="s">
        <v>439</v>
      </c>
      <c r="H131" s="9" t="s">
        <v>37</v>
      </c>
      <c r="I131" s="9" t="s">
        <v>37</v>
      </c>
      <c r="J131" s="9" t="s">
        <v>37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>
        <f t="shared" si="2"/>
        <v>0</v>
      </c>
    </row>
    <row r="132" spans="1:25" s="9" customFormat="1" ht="11.25" customHeight="1">
      <c r="A132" s="9">
        <v>2014</v>
      </c>
      <c r="B132" s="9" t="s">
        <v>573</v>
      </c>
      <c r="C132" s="9" t="s">
        <v>7</v>
      </c>
      <c r="D132" s="9" t="s">
        <v>7</v>
      </c>
      <c r="E132" s="9" t="s">
        <v>27</v>
      </c>
      <c r="F132" s="9" t="s">
        <v>94</v>
      </c>
      <c r="G132" s="9" t="s">
        <v>439</v>
      </c>
      <c r="H132" s="9" t="s">
        <v>27</v>
      </c>
      <c r="I132" s="9" t="s">
        <v>27</v>
      </c>
      <c r="J132" s="9" t="s">
        <v>28</v>
      </c>
      <c r="M132" s="10">
        <v>100</v>
      </c>
      <c r="N132" s="10">
        <v>100</v>
      </c>
      <c r="O132" s="10">
        <v>100</v>
      </c>
      <c r="P132" s="10">
        <v>100</v>
      </c>
      <c r="Q132" s="10">
        <v>100</v>
      </c>
      <c r="R132" s="10">
        <v>100</v>
      </c>
      <c r="S132" s="10">
        <v>100</v>
      </c>
      <c r="T132" s="10">
        <v>100</v>
      </c>
      <c r="U132" s="10">
        <v>100</v>
      </c>
      <c r="V132" s="10">
        <v>100</v>
      </c>
      <c r="W132" s="10">
        <v>100</v>
      </c>
      <c r="X132" s="10">
        <v>100</v>
      </c>
      <c r="Y132" s="10">
        <f t="shared" si="2"/>
        <v>1200</v>
      </c>
    </row>
    <row r="133" spans="1:25" s="9" customFormat="1" ht="11.25" customHeight="1">
      <c r="A133" s="9">
        <v>2014</v>
      </c>
      <c r="B133" s="9" t="s">
        <v>573</v>
      </c>
      <c r="C133" s="9" t="s">
        <v>7</v>
      </c>
      <c r="D133" s="9" t="s">
        <v>7</v>
      </c>
      <c r="E133" s="9" t="s">
        <v>149</v>
      </c>
      <c r="F133" s="9" t="s">
        <v>94</v>
      </c>
      <c r="G133" s="9" t="s">
        <v>439</v>
      </c>
      <c r="H133" s="9" t="s">
        <v>149</v>
      </c>
      <c r="I133" s="9" t="s">
        <v>149</v>
      </c>
      <c r="J133" s="9" t="s">
        <v>150</v>
      </c>
      <c r="M133" s="10">
        <v>1673.1</v>
      </c>
      <c r="N133" s="10">
        <v>1673.1</v>
      </c>
      <c r="O133" s="10">
        <v>1673.1</v>
      </c>
      <c r="P133" s="10">
        <v>1673.1</v>
      </c>
      <c r="Q133" s="10">
        <v>1673.1</v>
      </c>
      <c r="R133" s="10">
        <v>1673.1</v>
      </c>
      <c r="S133" s="10">
        <v>1673.1</v>
      </c>
      <c r="T133" s="10">
        <v>1673.1</v>
      </c>
      <c r="U133" s="10">
        <v>1673.1</v>
      </c>
      <c r="V133" s="10">
        <v>1673.1</v>
      </c>
      <c r="W133" s="10">
        <v>1673.1</v>
      </c>
      <c r="X133" s="10">
        <v>1673.1</v>
      </c>
      <c r="Y133" s="10">
        <f t="shared" si="2"/>
        <v>20077.199999999997</v>
      </c>
    </row>
    <row r="134" spans="1:25" s="9" customFormat="1" ht="11.25" customHeight="1">
      <c r="A134" s="9">
        <v>2014</v>
      </c>
      <c r="B134" s="9" t="s">
        <v>573</v>
      </c>
      <c r="C134" s="9" t="s">
        <v>7</v>
      </c>
      <c r="D134" s="9" t="s">
        <v>7</v>
      </c>
      <c r="E134" s="9" t="s">
        <v>18</v>
      </c>
      <c r="F134" s="9" t="s">
        <v>94</v>
      </c>
      <c r="G134" s="9" t="s">
        <v>439</v>
      </c>
      <c r="H134" s="9" t="s">
        <v>18</v>
      </c>
      <c r="I134" s="9" t="s">
        <v>18</v>
      </c>
      <c r="J134" s="9" t="s">
        <v>96</v>
      </c>
      <c r="M134" s="10">
        <v>400</v>
      </c>
      <c r="N134" s="10">
        <v>400</v>
      </c>
      <c r="O134" s="10">
        <v>400</v>
      </c>
      <c r="P134" s="10">
        <v>400</v>
      </c>
      <c r="Q134" s="10">
        <v>400</v>
      </c>
      <c r="R134" s="10">
        <v>400</v>
      </c>
      <c r="S134" s="10">
        <v>400</v>
      </c>
      <c r="T134" s="10">
        <v>400</v>
      </c>
      <c r="U134" s="10">
        <v>400</v>
      </c>
      <c r="V134" s="10">
        <v>400</v>
      </c>
      <c r="W134" s="10">
        <v>400</v>
      </c>
      <c r="X134" s="10">
        <v>400</v>
      </c>
      <c r="Y134" s="10">
        <f t="shared" si="2"/>
        <v>4800</v>
      </c>
    </row>
    <row r="135" spans="1:25" s="9" customFormat="1" ht="11.25" customHeight="1">
      <c r="A135" s="9">
        <v>2014</v>
      </c>
      <c r="B135" s="9" t="s">
        <v>573</v>
      </c>
      <c r="C135" s="9" t="s">
        <v>7</v>
      </c>
      <c r="D135" s="9" t="s">
        <v>7</v>
      </c>
      <c r="E135" s="9" t="s">
        <v>18</v>
      </c>
      <c r="F135" s="9" t="s">
        <v>94</v>
      </c>
      <c r="G135" s="9" t="s">
        <v>439</v>
      </c>
      <c r="H135" s="9" t="s">
        <v>18</v>
      </c>
      <c r="I135" s="9" t="s">
        <v>18</v>
      </c>
      <c r="J135" s="9" t="s">
        <v>97</v>
      </c>
      <c r="M135" s="10"/>
      <c r="N135" s="10"/>
      <c r="O135" s="10"/>
      <c r="P135" s="10"/>
      <c r="Q135" s="10">
        <v>2400</v>
      </c>
      <c r="R135" s="10">
        <v>2400</v>
      </c>
      <c r="S135" s="10">
        <v>2400</v>
      </c>
      <c r="T135" s="10"/>
      <c r="U135" s="10"/>
      <c r="V135" s="10"/>
      <c r="W135" s="10"/>
      <c r="X135" s="10"/>
      <c r="Y135" s="10">
        <f t="shared" si="2"/>
        <v>7200</v>
      </c>
    </row>
    <row r="136" spans="1:25" s="9" customFormat="1" ht="11.25" customHeight="1">
      <c r="A136" s="9">
        <v>2014</v>
      </c>
      <c r="B136" s="9" t="s">
        <v>573</v>
      </c>
      <c r="C136" s="9" t="s">
        <v>7</v>
      </c>
      <c r="D136" s="9" t="s">
        <v>7</v>
      </c>
      <c r="E136" s="9" t="s">
        <v>18</v>
      </c>
      <c r="F136" s="9" t="s">
        <v>94</v>
      </c>
      <c r="G136" s="9" t="s">
        <v>439</v>
      </c>
      <c r="H136" s="9" t="s">
        <v>18</v>
      </c>
      <c r="I136" s="9" t="s">
        <v>18</v>
      </c>
      <c r="J136" s="9" t="s">
        <v>44</v>
      </c>
      <c r="M136" s="10">
        <v>100</v>
      </c>
      <c r="N136" s="10">
        <v>100</v>
      </c>
      <c r="O136" s="10">
        <v>100</v>
      </c>
      <c r="P136" s="10">
        <v>100</v>
      </c>
      <c r="Q136" s="10">
        <v>100</v>
      </c>
      <c r="R136" s="10">
        <v>100</v>
      </c>
      <c r="S136" s="10">
        <v>100</v>
      </c>
      <c r="T136" s="10">
        <v>100</v>
      </c>
      <c r="U136" s="10">
        <v>100</v>
      </c>
      <c r="V136" s="10">
        <v>100</v>
      </c>
      <c r="W136" s="10">
        <v>100</v>
      </c>
      <c r="X136" s="10">
        <v>100</v>
      </c>
      <c r="Y136" s="10">
        <f t="shared" si="2"/>
        <v>1200</v>
      </c>
    </row>
    <row r="137" spans="1:25" s="9" customFormat="1" ht="11.25" customHeight="1">
      <c r="A137" s="9">
        <v>2014</v>
      </c>
      <c r="B137" s="9" t="s">
        <v>573</v>
      </c>
      <c r="C137" s="9" t="s">
        <v>7</v>
      </c>
      <c r="D137" s="9" t="s">
        <v>7</v>
      </c>
      <c r="E137" s="9" t="s">
        <v>29</v>
      </c>
      <c r="F137" s="9" t="s">
        <v>94</v>
      </c>
      <c r="G137" s="9" t="s">
        <v>439</v>
      </c>
      <c r="H137" s="9" t="s">
        <v>29</v>
      </c>
      <c r="I137" s="9" t="s">
        <v>29</v>
      </c>
      <c r="J137" s="9" t="s">
        <v>95</v>
      </c>
      <c r="M137" s="10">
        <v>300</v>
      </c>
      <c r="N137" s="10">
        <v>300</v>
      </c>
      <c r="O137" s="10">
        <v>300</v>
      </c>
      <c r="P137" s="10">
        <v>300</v>
      </c>
      <c r="Q137" s="10">
        <v>300</v>
      </c>
      <c r="R137" s="10">
        <v>300</v>
      </c>
      <c r="S137" s="10">
        <v>300</v>
      </c>
      <c r="T137" s="10">
        <v>300</v>
      </c>
      <c r="U137" s="10">
        <v>300</v>
      </c>
      <c r="V137" s="10">
        <v>300</v>
      </c>
      <c r="W137" s="10">
        <v>300</v>
      </c>
      <c r="X137" s="10">
        <v>300</v>
      </c>
      <c r="Y137" s="10">
        <f t="shared" si="2"/>
        <v>3600</v>
      </c>
    </row>
    <row r="138" spans="1:25" s="9" customFormat="1" ht="11.25" customHeight="1">
      <c r="A138" s="9">
        <v>2014</v>
      </c>
      <c r="B138" s="9" t="s">
        <v>573</v>
      </c>
      <c r="C138" s="9" t="s">
        <v>7</v>
      </c>
      <c r="D138" s="9" t="s">
        <v>7</v>
      </c>
      <c r="E138" s="9" t="s">
        <v>29</v>
      </c>
      <c r="F138" s="9" t="s">
        <v>94</v>
      </c>
      <c r="G138" s="9" t="s">
        <v>439</v>
      </c>
      <c r="H138" s="9" t="s">
        <v>29</v>
      </c>
      <c r="I138" s="9" t="s">
        <v>29</v>
      </c>
      <c r="J138" s="9" t="s">
        <v>31</v>
      </c>
      <c r="M138" s="10">
        <v>2000</v>
      </c>
      <c r="N138" s="10">
        <v>2000</v>
      </c>
      <c r="O138" s="10">
        <v>2000</v>
      </c>
      <c r="P138" s="10">
        <v>2000</v>
      </c>
      <c r="Q138" s="10">
        <v>2000</v>
      </c>
      <c r="R138" s="10">
        <v>2000</v>
      </c>
      <c r="S138" s="10">
        <v>2000</v>
      </c>
      <c r="T138" s="10">
        <v>2000</v>
      </c>
      <c r="U138" s="10">
        <v>2000</v>
      </c>
      <c r="V138" s="10">
        <v>2000</v>
      </c>
      <c r="W138" s="10">
        <v>2000</v>
      </c>
      <c r="X138" s="10">
        <v>2000</v>
      </c>
      <c r="Y138" s="10">
        <f t="shared" si="2"/>
        <v>24000</v>
      </c>
    </row>
    <row r="139" spans="1:25" s="9" customFormat="1" ht="11.25" customHeight="1">
      <c r="A139" s="9">
        <v>2014</v>
      </c>
      <c r="B139" s="9" t="s">
        <v>573</v>
      </c>
      <c r="C139" s="9" t="s">
        <v>7</v>
      </c>
      <c r="D139" s="9" t="s">
        <v>7</v>
      </c>
      <c r="E139" s="9" t="s">
        <v>29</v>
      </c>
      <c r="F139" s="9" t="s">
        <v>94</v>
      </c>
      <c r="G139" s="9" t="s">
        <v>439</v>
      </c>
      <c r="H139" s="9" t="s">
        <v>29</v>
      </c>
      <c r="I139" s="9" t="s">
        <v>29</v>
      </c>
      <c r="J139" s="9" t="s">
        <v>30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>
        <f t="shared" si="2"/>
        <v>0</v>
      </c>
    </row>
    <row r="140" spans="1:25" s="9" customFormat="1" ht="11.25" customHeight="1">
      <c r="A140" s="9">
        <v>2014</v>
      </c>
      <c r="B140" s="9" t="s">
        <v>573</v>
      </c>
      <c r="C140" s="9" t="s">
        <v>7</v>
      </c>
      <c r="D140" s="9" t="s">
        <v>7</v>
      </c>
      <c r="E140" s="9" t="s">
        <v>12</v>
      </c>
      <c r="F140" s="9" t="s">
        <v>94</v>
      </c>
      <c r="G140" s="9" t="s">
        <v>439</v>
      </c>
      <c r="H140" s="9" t="s">
        <v>12</v>
      </c>
      <c r="I140" s="9" t="s">
        <v>12</v>
      </c>
      <c r="J140" s="9" t="s">
        <v>13</v>
      </c>
      <c r="M140" s="10">
        <v>200</v>
      </c>
      <c r="N140" s="10">
        <v>200</v>
      </c>
      <c r="O140" s="10">
        <v>200</v>
      </c>
      <c r="P140" s="10">
        <v>200</v>
      </c>
      <c r="Q140" s="10">
        <v>200</v>
      </c>
      <c r="R140" s="10">
        <v>200</v>
      </c>
      <c r="S140" s="10">
        <v>200</v>
      </c>
      <c r="T140" s="10">
        <v>200</v>
      </c>
      <c r="U140" s="10">
        <v>200</v>
      </c>
      <c r="V140" s="10">
        <v>200</v>
      </c>
      <c r="W140" s="10">
        <v>200</v>
      </c>
      <c r="X140" s="10">
        <v>200</v>
      </c>
      <c r="Y140" s="10">
        <f t="shared" si="2"/>
        <v>2400</v>
      </c>
    </row>
    <row r="141" spans="1:25" s="9" customFormat="1" ht="11.25" customHeight="1">
      <c r="A141" s="9">
        <v>2014</v>
      </c>
      <c r="B141" s="9" t="s">
        <v>573</v>
      </c>
      <c r="C141" s="9" t="s">
        <v>7</v>
      </c>
      <c r="D141" s="9" t="s">
        <v>7</v>
      </c>
      <c r="E141" s="9" t="s">
        <v>148</v>
      </c>
      <c r="F141" s="9" t="s">
        <v>260</v>
      </c>
      <c r="G141" s="9" t="s">
        <v>439</v>
      </c>
      <c r="H141" s="9" t="s">
        <v>148</v>
      </c>
      <c r="I141" s="9" t="s">
        <v>148</v>
      </c>
      <c r="J141" s="9" t="s">
        <v>148</v>
      </c>
      <c r="M141" s="10">
        <v>41988</v>
      </c>
      <c r="N141" s="10">
        <v>41988</v>
      </c>
      <c r="O141" s="10">
        <v>41988</v>
      </c>
      <c r="P141" s="10">
        <v>41988</v>
      </c>
      <c r="Q141" s="10">
        <v>41988</v>
      </c>
      <c r="R141" s="10">
        <v>41988</v>
      </c>
      <c r="S141" s="10">
        <v>41988</v>
      </c>
      <c r="T141" s="10">
        <v>41988</v>
      </c>
      <c r="U141" s="10">
        <v>41988</v>
      </c>
      <c r="V141" s="10">
        <v>41988</v>
      </c>
      <c r="W141" s="10">
        <v>41988</v>
      </c>
      <c r="X141" s="10">
        <v>41988</v>
      </c>
      <c r="Y141" s="10">
        <f t="shared" si="2"/>
        <v>503856</v>
      </c>
    </row>
    <row r="142" spans="1:25" s="9" customFormat="1" ht="11.25" customHeight="1">
      <c r="A142" s="9">
        <v>2014</v>
      </c>
      <c r="B142" s="9" t="s">
        <v>573</v>
      </c>
      <c r="C142" s="9" t="s">
        <v>7</v>
      </c>
      <c r="D142" s="9" t="s">
        <v>7</v>
      </c>
      <c r="E142" s="9" t="s">
        <v>37</v>
      </c>
      <c r="F142" s="9" t="s">
        <v>260</v>
      </c>
      <c r="G142" s="9" t="s">
        <v>439</v>
      </c>
      <c r="H142" s="9" t="s">
        <v>37</v>
      </c>
      <c r="I142" s="9" t="s">
        <v>37</v>
      </c>
      <c r="J142" s="9" t="s">
        <v>37</v>
      </c>
      <c r="M142" s="10">
        <v>5000</v>
      </c>
      <c r="N142" s="10">
        <v>5000</v>
      </c>
      <c r="O142" s="10">
        <v>5000</v>
      </c>
      <c r="P142" s="10">
        <v>5000</v>
      </c>
      <c r="Q142" s="10">
        <v>5000</v>
      </c>
      <c r="R142" s="10">
        <v>5000</v>
      </c>
      <c r="S142" s="10">
        <v>5000</v>
      </c>
      <c r="T142" s="10">
        <v>5000</v>
      </c>
      <c r="U142" s="10">
        <v>5000</v>
      </c>
      <c r="V142" s="10">
        <v>5000</v>
      </c>
      <c r="W142" s="10">
        <v>5000</v>
      </c>
      <c r="X142" s="10">
        <v>5000</v>
      </c>
      <c r="Y142" s="10">
        <f t="shared" si="2"/>
        <v>60000</v>
      </c>
    </row>
    <row r="143" spans="1:25" s="9" customFormat="1" ht="11.25" customHeight="1">
      <c r="A143" s="9">
        <v>2014</v>
      </c>
      <c r="B143" s="9" t="s">
        <v>573</v>
      </c>
      <c r="C143" s="9" t="s">
        <v>7</v>
      </c>
      <c r="D143" s="9" t="s">
        <v>7</v>
      </c>
      <c r="E143" s="9" t="s">
        <v>27</v>
      </c>
      <c r="F143" s="9" t="s">
        <v>260</v>
      </c>
      <c r="G143" s="9" t="s">
        <v>439</v>
      </c>
      <c r="H143" s="9" t="s">
        <v>27</v>
      </c>
      <c r="I143" s="9" t="s">
        <v>27</v>
      </c>
      <c r="J143" s="9" t="s">
        <v>28</v>
      </c>
      <c r="M143" s="10">
        <v>100</v>
      </c>
      <c r="N143" s="10">
        <v>100</v>
      </c>
      <c r="O143" s="10">
        <v>100</v>
      </c>
      <c r="P143" s="10">
        <v>100</v>
      </c>
      <c r="Q143" s="10">
        <v>100</v>
      </c>
      <c r="R143" s="10">
        <v>100</v>
      </c>
      <c r="S143" s="10">
        <v>100</v>
      </c>
      <c r="T143" s="10">
        <v>100</v>
      </c>
      <c r="U143" s="10">
        <v>100</v>
      </c>
      <c r="V143" s="10">
        <v>100</v>
      </c>
      <c r="W143" s="10">
        <v>100</v>
      </c>
      <c r="X143" s="10">
        <v>100</v>
      </c>
      <c r="Y143" s="10">
        <f t="shared" si="2"/>
        <v>1200</v>
      </c>
    </row>
    <row r="144" spans="1:25" s="9" customFormat="1" ht="11.25" customHeight="1">
      <c r="A144" s="9">
        <v>2014</v>
      </c>
      <c r="B144" s="9" t="s">
        <v>573</v>
      </c>
      <c r="C144" s="9" t="s">
        <v>7</v>
      </c>
      <c r="D144" s="9" t="s">
        <v>7</v>
      </c>
      <c r="E144" s="9" t="s">
        <v>149</v>
      </c>
      <c r="F144" s="9" t="s">
        <v>260</v>
      </c>
      <c r="G144" s="9" t="s">
        <v>439</v>
      </c>
      <c r="H144" s="9" t="s">
        <v>149</v>
      </c>
      <c r="I144" s="9" t="s">
        <v>149</v>
      </c>
      <c r="J144" s="9" t="s">
        <v>150</v>
      </c>
      <c r="M144" s="10">
        <v>2676.96</v>
      </c>
      <c r="N144" s="10">
        <v>2676.96</v>
      </c>
      <c r="O144" s="10">
        <v>2676.96</v>
      </c>
      <c r="P144" s="10">
        <v>2676.96</v>
      </c>
      <c r="Q144" s="10">
        <v>2676.96</v>
      </c>
      <c r="R144" s="10">
        <v>2676.96</v>
      </c>
      <c r="S144" s="10">
        <v>2676.96</v>
      </c>
      <c r="T144" s="10">
        <v>2676.96</v>
      </c>
      <c r="U144" s="10">
        <v>2676.96</v>
      </c>
      <c r="V144" s="10">
        <v>2676.96</v>
      </c>
      <c r="W144" s="10">
        <v>2676.96</v>
      </c>
      <c r="X144" s="10">
        <v>2676.96</v>
      </c>
      <c r="Y144" s="10">
        <f t="shared" si="2"/>
        <v>32123.519999999993</v>
      </c>
    </row>
    <row r="145" spans="1:25" s="9" customFormat="1" ht="11.25" customHeight="1">
      <c r="A145" s="9">
        <v>2014</v>
      </c>
      <c r="B145" s="9" t="s">
        <v>573</v>
      </c>
      <c r="C145" s="9" t="s">
        <v>7</v>
      </c>
      <c r="D145" s="9" t="s">
        <v>7</v>
      </c>
      <c r="E145" s="9" t="s">
        <v>18</v>
      </c>
      <c r="F145" s="9" t="s">
        <v>260</v>
      </c>
      <c r="G145" s="9" t="s">
        <v>439</v>
      </c>
      <c r="H145" s="9" t="s">
        <v>18</v>
      </c>
      <c r="I145" s="9" t="s">
        <v>18</v>
      </c>
      <c r="J145" s="9" t="s">
        <v>43</v>
      </c>
      <c r="K145" s="9" t="s">
        <v>275</v>
      </c>
      <c r="M145" s="10">
        <v>1500</v>
      </c>
      <c r="N145" s="10">
        <v>1500</v>
      </c>
      <c r="O145" s="10">
        <v>1500</v>
      </c>
      <c r="P145" s="10">
        <v>1500</v>
      </c>
      <c r="Q145" s="10">
        <v>1500</v>
      </c>
      <c r="R145" s="10">
        <v>1500</v>
      </c>
      <c r="S145" s="10">
        <v>1500</v>
      </c>
      <c r="T145" s="10">
        <v>1500</v>
      </c>
      <c r="U145" s="10">
        <v>1500</v>
      </c>
      <c r="V145" s="10">
        <v>1500</v>
      </c>
      <c r="W145" s="10">
        <v>1500</v>
      </c>
      <c r="X145" s="10">
        <v>1500</v>
      </c>
      <c r="Y145" s="10">
        <f t="shared" si="2"/>
        <v>18000</v>
      </c>
    </row>
    <row r="146" spans="1:25" s="9" customFormat="1" ht="11.25" customHeight="1">
      <c r="A146" s="9">
        <v>2014</v>
      </c>
      <c r="B146" s="9" t="s">
        <v>573</v>
      </c>
      <c r="C146" s="9" t="s">
        <v>7</v>
      </c>
      <c r="D146" s="9" t="s">
        <v>7</v>
      </c>
      <c r="E146" s="9" t="s">
        <v>18</v>
      </c>
      <c r="F146" s="9" t="s">
        <v>260</v>
      </c>
      <c r="G146" s="9" t="s">
        <v>439</v>
      </c>
      <c r="H146" s="9" t="s">
        <v>18</v>
      </c>
      <c r="I146" s="9" t="s">
        <v>18</v>
      </c>
      <c r="J146" s="9" t="s">
        <v>43</v>
      </c>
      <c r="K146" s="9" t="s">
        <v>278</v>
      </c>
      <c r="M146" s="10">
        <v>1500</v>
      </c>
      <c r="N146" s="10">
        <v>1500</v>
      </c>
      <c r="O146" s="10">
        <v>1500</v>
      </c>
      <c r="P146" s="10">
        <v>1500</v>
      </c>
      <c r="Q146" s="10">
        <v>1500</v>
      </c>
      <c r="R146" s="10">
        <v>1500</v>
      </c>
      <c r="S146" s="10">
        <v>1500</v>
      </c>
      <c r="T146" s="10">
        <v>1500</v>
      </c>
      <c r="U146" s="10">
        <v>1500</v>
      </c>
      <c r="V146" s="10">
        <v>1500</v>
      </c>
      <c r="W146" s="10">
        <v>1500</v>
      </c>
      <c r="X146" s="10">
        <v>1500</v>
      </c>
      <c r="Y146" s="10">
        <f t="shared" si="2"/>
        <v>18000</v>
      </c>
    </row>
    <row r="147" spans="1:25" s="9" customFormat="1" ht="11.25" customHeight="1">
      <c r="A147" s="9">
        <v>2014</v>
      </c>
      <c r="B147" s="9" t="s">
        <v>573</v>
      </c>
      <c r="C147" s="9" t="s">
        <v>7</v>
      </c>
      <c r="D147" s="9" t="s">
        <v>7</v>
      </c>
      <c r="E147" s="9" t="s">
        <v>18</v>
      </c>
      <c r="F147" s="9" t="s">
        <v>260</v>
      </c>
      <c r="G147" s="9" t="s">
        <v>439</v>
      </c>
      <c r="H147" s="9" t="s">
        <v>18</v>
      </c>
      <c r="I147" s="9" t="s">
        <v>18</v>
      </c>
      <c r="J147" s="9" t="s">
        <v>43</v>
      </c>
      <c r="K147" s="9" t="s">
        <v>277</v>
      </c>
      <c r="M147" s="10">
        <v>3000</v>
      </c>
      <c r="N147" s="10">
        <v>3000</v>
      </c>
      <c r="O147" s="10">
        <v>3000</v>
      </c>
      <c r="P147" s="10">
        <v>3000</v>
      </c>
      <c r="Q147" s="10">
        <v>3000</v>
      </c>
      <c r="R147" s="10">
        <v>3000</v>
      </c>
      <c r="S147" s="10">
        <v>3000</v>
      </c>
      <c r="T147" s="10">
        <v>3000</v>
      </c>
      <c r="U147" s="10">
        <v>3000</v>
      </c>
      <c r="V147" s="10">
        <v>3000</v>
      </c>
      <c r="W147" s="10">
        <v>3000</v>
      </c>
      <c r="X147" s="10">
        <v>3000</v>
      </c>
      <c r="Y147" s="10">
        <f t="shared" si="2"/>
        <v>36000</v>
      </c>
    </row>
    <row r="148" spans="1:25" s="9" customFormat="1" ht="11.25" customHeight="1">
      <c r="A148" s="9">
        <v>2014</v>
      </c>
      <c r="B148" s="9" t="s">
        <v>573</v>
      </c>
      <c r="C148" s="9" t="s">
        <v>7</v>
      </c>
      <c r="D148" s="9" t="s">
        <v>7</v>
      </c>
      <c r="E148" s="9" t="s">
        <v>18</v>
      </c>
      <c r="F148" s="9" t="s">
        <v>260</v>
      </c>
      <c r="G148" s="9" t="s">
        <v>439</v>
      </c>
      <c r="H148" s="9" t="s">
        <v>18</v>
      </c>
      <c r="I148" s="9" t="s">
        <v>18</v>
      </c>
      <c r="J148" s="9" t="s">
        <v>43</v>
      </c>
      <c r="K148" s="9" t="s">
        <v>276</v>
      </c>
      <c r="M148" s="10">
        <v>1500</v>
      </c>
      <c r="N148" s="10">
        <v>1500</v>
      </c>
      <c r="O148" s="10">
        <v>1500</v>
      </c>
      <c r="P148" s="10">
        <v>1500</v>
      </c>
      <c r="Q148" s="10">
        <v>1500</v>
      </c>
      <c r="R148" s="10">
        <v>1500</v>
      </c>
      <c r="S148" s="10">
        <v>1500</v>
      </c>
      <c r="T148" s="10">
        <v>1500</v>
      </c>
      <c r="U148" s="10">
        <v>1500</v>
      </c>
      <c r="V148" s="10">
        <v>1500</v>
      </c>
      <c r="W148" s="10">
        <v>1500</v>
      </c>
      <c r="X148" s="10">
        <v>1500</v>
      </c>
      <c r="Y148" s="10">
        <f t="shared" si="2"/>
        <v>18000</v>
      </c>
    </row>
    <row r="149" spans="1:25" s="9" customFormat="1" ht="11.25" customHeight="1">
      <c r="A149" s="9">
        <v>2014</v>
      </c>
      <c r="B149" s="9" t="s">
        <v>573</v>
      </c>
      <c r="C149" s="9" t="s">
        <v>7</v>
      </c>
      <c r="D149" s="9" t="s">
        <v>7</v>
      </c>
      <c r="E149" s="9" t="s">
        <v>29</v>
      </c>
      <c r="F149" s="9" t="s">
        <v>260</v>
      </c>
      <c r="G149" s="9" t="s">
        <v>439</v>
      </c>
      <c r="H149" s="9" t="s">
        <v>29</v>
      </c>
      <c r="I149" s="9" t="s">
        <v>29</v>
      </c>
      <c r="J149" s="9" t="s">
        <v>95</v>
      </c>
      <c r="M149" s="10">
        <v>1000</v>
      </c>
      <c r="N149" s="10">
        <v>1000</v>
      </c>
      <c r="O149" s="10">
        <v>1000</v>
      </c>
      <c r="P149" s="10">
        <v>1000</v>
      </c>
      <c r="Q149" s="10">
        <v>1000</v>
      </c>
      <c r="R149" s="10">
        <v>1000</v>
      </c>
      <c r="S149" s="10">
        <v>1000</v>
      </c>
      <c r="T149" s="10">
        <v>1000</v>
      </c>
      <c r="U149" s="10">
        <v>1000</v>
      </c>
      <c r="V149" s="10">
        <v>1000</v>
      </c>
      <c r="W149" s="10">
        <v>1000</v>
      </c>
      <c r="X149" s="10">
        <v>1000</v>
      </c>
      <c r="Y149" s="10">
        <f t="shared" si="2"/>
        <v>12000</v>
      </c>
    </row>
    <row r="150" spans="1:25" s="9" customFormat="1" ht="11.25" customHeight="1">
      <c r="A150" s="9">
        <v>2014</v>
      </c>
      <c r="B150" s="9" t="s">
        <v>573</v>
      </c>
      <c r="C150" s="9" t="s">
        <v>7</v>
      </c>
      <c r="D150" s="9" t="s">
        <v>7</v>
      </c>
      <c r="E150" s="9" t="s">
        <v>29</v>
      </c>
      <c r="F150" s="9" t="s">
        <v>260</v>
      </c>
      <c r="G150" s="9" t="s">
        <v>439</v>
      </c>
      <c r="H150" s="9" t="s">
        <v>29</v>
      </c>
      <c r="I150" s="9" t="s">
        <v>29</v>
      </c>
      <c r="J150" s="9" t="s">
        <v>31</v>
      </c>
      <c r="M150" s="10">
        <v>1100</v>
      </c>
      <c r="N150" s="10">
        <v>1100</v>
      </c>
      <c r="O150" s="10">
        <v>1100</v>
      </c>
      <c r="P150" s="10">
        <v>1100</v>
      </c>
      <c r="Q150" s="10">
        <v>1100</v>
      </c>
      <c r="R150" s="10">
        <v>1100</v>
      </c>
      <c r="S150" s="10">
        <v>1100</v>
      </c>
      <c r="T150" s="10">
        <v>1100</v>
      </c>
      <c r="U150" s="10">
        <v>1100</v>
      </c>
      <c r="V150" s="10">
        <v>1100</v>
      </c>
      <c r="W150" s="10">
        <v>1100</v>
      </c>
      <c r="X150" s="10">
        <v>1100</v>
      </c>
      <c r="Y150" s="10">
        <f t="shared" si="2"/>
        <v>13200</v>
      </c>
    </row>
    <row r="151" spans="1:25" s="9" customFormat="1" ht="11.25" customHeight="1">
      <c r="A151" s="9">
        <v>2014</v>
      </c>
      <c r="B151" s="9" t="s">
        <v>573</v>
      </c>
      <c r="C151" s="9" t="s">
        <v>7</v>
      </c>
      <c r="D151" s="9" t="s">
        <v>7</v>
      </c>
      <c r="E151" s="9" t="s">
        <v>12</v>
      </c>
      <c r="F151" s="9" t="s">
        <v>260</v>
      </c>
      <c r="G151" s="9" t="s">
        <v>439</v>
      </c>
      <c r="H151" s="9" t="s">
        <v>12</v>
      </c>
      <c r="I151" s="9" t="s">
        <v>12</v>
      </c>
      <c r="J151" s="9" t="s">
        <v>13</v>
      </c>
      <c r="K151" s="9" t="s">
        <v>275</v>
      </c>
      <c r="M151" s="10">
        <v>165</v>
      </c>
      <c r="N151" s="10">
        <v>165</v>
      </c>
      <c r="O151" s="10">
        <v>165</v>
      </c>
      <c r="P151" s="10">
        <v>165</v>
      </c>
      <c r="Q151" s="10">
        <v>165</v>
      </c>
      <c r="R151" s="10">
        <v>165</v>
      </c>
      <c r="S151" s="10">
        <v>165</v>
      </c>
      <c r="T151" s="10">
        <v>165</v>
      </c>
      <c r="U151" s="10">
        <v>165</v>
      </c>
      <c r="V151" s="10">
        <v>165</v>
      </c>
      <c r="W151" s="10">
        <v>165</v>
      </c>
      <c r="X151" s="10">
        <v>165</v>
      </c>
      <c r="Y151" s="10">
        <f t="shared" si="2"/>
        <v>1980</v>
      </c>
    </row>
    <row r="152" spans="1:25" s="9" customFormat="1" ht="11.25" customHeight="1">
      <c r="A152" s="9">
        <v>2014</v>
      </c>
      <c r="B152" s="9" t="s">
        <v>573</v>
      </c>
      <c r="C152" s="9" t="s">
        <v>7</v>
      </c>
      <c r="D152" s="9" t="s">
        <v>7</v>
      </c>
      <c r="E152" s="9" t="s">
        <v>12</v>
      </c>
      <c r="F152" s="9" t="s">
        <v>260</v>
      </c>
      <c r="G152" s="9" t="s">
        <v>439</v>
      </c>
      <c r="H152" s="9" t="s">
        <v>12</v>
      </c>
      <c r="I152" s="9" t="s">
        <v>12</v>
      </c>
      <c r="J152" s="9" t="s">
        <v>13</v>
      </c>
      <c r="K152" s="9" t="s">
        <v>277</v>
      </c>
      <c r="M152" s="10">
        <v>380</v>
      </c>
      <c r="N152" s="10">
        <v>380</v>
      </c>
      <c r="O152" s="10">
        <v>380</v>
      </c>
      <c r="P152" s="10">
        <v>380</v>
      </c>
      <c r="Q152" s="10">
        <v>380</v>
      </c>
      <c r="R152" s="10">
        <v>380</v>
      </c>
      <c r="S152" s="10">
        <v>380</v>
      </c>
      <c r="T152" s="10">
        <v>380</v>
      </c>
      <c r="U152" s="10">
        <v>380</v>
      </c>
      <c r="V152" s="10">
        <v>380</v>
      </c>
      <c r="W152" s="10">
        <v>380</v>
      </c>
      <c r="X152" s="10">
        <v>380</v>
      </c>
      <c r="Y152" s="10">
        <f t="shared" si="2"/>
        <v>4560</v>
      </c>
    </row>
    <row r="153" spans="1:25" s="9" customFormat="1" ht="11.25" customHeight="1">
      <c r="A153" s="9">
        <v>2014</v>
      </c>
      <c r="B153" s="9" t="s">
        <v>573</v>
      </c>
      <c r="C153" s="9" t="s">
        <v>7</v>
      </c>
      <c r="D153" s="9" t="s">
        <v>7</v>
      </c>
      <c r="E153" s="9" t="s">
        <v>12</v>
      </c>
      <c r="F153" s="9" t="s">
        <v>260</v>
      </c>
      <c r="G153" s="9" t="s">
        <v>439</v>
      </c>
      <c r="H153" s="9" t="s">
        <v>12</v>
      </c>
      <c r="I153" s="9" t="s">
        <v>12</v>
      </c>
      <c r="J153" s="9" t="s">
        <v>13</v>
      </c>
      <c r="K153" s="9" t="s">
        <v>276</v>
      </c>
      <c r="M153" s="10">
        <v>380</v>
      </c>
      <c r="N153" s="10">
        <v>380</v>
      </c>
      <c r="O153" s="10">
        <v>380</v>
      </c>
      <c r="P153" s="10">
        <v>380</v>
      </c>
      <c r="Q153" s="10">
        <v>380</v>
      </c>
      <c r="R153" s="10">
        <v>380</v>
      </c>
      <c r="S153" s="10">
        <v>380</v>
      </c>
      <c r="T153" s="10">
        <v>380</v>
      </c>
      <c r="U153" s="10">
        <v>380</v>
      </c>
      <c r="V153" s="10">
        <v>380</v>
      </c>
      <c r="W153" s="10">
        <v>380</v>
      </c>
      <c r="X153" s="10">
        <v>380</v>
      </c>
      <c r="Y153" s="10">
        <f t="shared" si="2"/>
        <v>4560</v>
      </c>
    </row>
    <row r="154" spans="1:25" s="9" customFormat="1" ht="11.25" customHeight="1">
      <c r="A154" s="9">
        <v>2014</v>
      </c>
      <c r="B154" s="9" t="s">
        <v>573</v>
      </c>
      <c r="C154" s="9" t="s">
        <v>7</v>
      </c>
      <c r="D154" s="9" t="s">
        <v>7</v>
      </c>
      <c r="E154" s="9" t="s">
        <v>12</v>
      </c>
      <c r="F154" s="9" t="s">
        <v>260</v>
      </c>
      <c r="G154" s="9" t="s">
        <v>439</v>
      </c>
      <c r="H154" s="9" t="s">
        <v>12</v>
      </c>
      <c r="I154" s="9" t="s">
        <v>12</v>
      </c>
      <c r="J154" s="9" t="s">
        <v>13</v>
      </c>
      <c r="M154" s="10">
        <v>165</v>
      </c>
      <c r="N154" s="10">
        <v>165</v>
      </c>
      <c r="O154" s="10">
        <v>165</v>
      </c>
      <c r="P154" s="10">
        <v>165</v>
      </c>
      <c r="Q154" s="10">
        <v>165</v>
      </c>
      <c r="R154" s="10">
        <v>165</v>
      </c>
      <c r="S154" s="10">
        <v>165</v>
      </c>
      <c r="T154" s="10">
        <v>165</v>
      </c>
      <c r="U154" s="10">
        <v>165</v>
      </c>
      <c r="V154" s="10">
        <v>165</v>
      </c>
      <c r="W154" s="10">
        <v>165</v>
      </c>
      <c r="X154" s="10">
        <v>165</v>
      </c>
      <c r="Y154" s="10">
        <f t="shared" si="2"/>
        <v>1980</v>
      </c>
    </row>
    <row r="155" spans="1:25" s="9" customFormat="1" ht="11.25" customHeight="1">
      <c r="A155" s="9">
        <v>2014</v>
      </c>
      <c r="B155" s="9" t="s">
        <v>573</v>
      </c>
      <c r="C155" s="9" t="s">
        <v>7</v>
      </c>
      <c r="D155" s="9" t="s">
        <v>7</v>
      </c>
      <c r="E155" s="9" t="s">
        <v>148</v>
      </c>
      <c r="F155" s="9" t="s">
        <v>8</v>
      </c>
      <c r="G155" s="9" t="s">
        <v>439</v>
      </c>
      <c r="H155" s="9" t="s">
        <v>148</v>
      </c>
      <c r="I155" s="9" t="s">
        <v>148</v>
      </c>
      <c r="J155" s="9" t="s">
        <v>148</v>
      </c>
      <c r="M155" s="10">
        <v>7210</v>
      </c>
      <c r="N155" s="10">
        <v>7210</v>
      </c>
      <c r="O155" s="10">
        <v>7210</v>
      </c>
      <c r="P155" s="10">
        <v>7210</v>
      </c>
      <c r="Q155" s="10">
        <v>7210</v>
      </c>
      <c r="R155" s="10">
        <v>7210</v>
      </c>
      <c r="S155" s="10">
        <v>7210</v>
      </c>
      <c r="T155" s="10">
        <v>7210</v>
      </c>
      <c r="U155" s="10">
        <v>7210</v>
      </c>
      <c r="V155" s="10">
        <v>7210</v>
      </c>
      <c r="W155" s="10">
        <v>7210</v>
      </c>
      <c r="X155" s="10">
        <v>7210</v>
      </c>
      <c r="Y155" s="10">
        <f t="shared" si="2"/>
        <v>86520</v>
      </c>
    </row>
    <row r="156" spans="1:25" s="9" customFormat="1" ht="11.25" customHeight="1">
      <c r="A156" s="9">
        <v>2014</v>
      </c>
      <c r="B156" s="9" t="s">
        <v>573</v>
      </c>
      <c r="C156" s="9" t="s">
        <v>7</v>
      </c>
      <c r="D156" s="9" t="s">
        <v>7</v>
      </c>
      <c r="E156" s="9" t="s">
        <v>149</v>
      </c>
      <c r="F156" s="9" t="s">
        <v>8</v>
      </c>
      <c r="G156" s="9" t="s">
        <v>439</v>
      </c>
      <c r="H156" s="9" t="s">
        <v>149</v>
      </c>
      <c r="I156" s="9" t="s">
        <v>149</v>
      </c>
      <c r="J156" s="9" t="s">
        <v>150</v>
      </c>
      <c r="M156" s="10">
        <v>505.65</v>
      </c>
      <c r="N156" s="10">
        <v>505.65</v>
      </c>
      <c r="O156" s="10">
        <v>505.65</v>
      </c>
      <c r="P156" s="10">
        <v>505.65</v>
      </c>
      <c r="Q156" s="10">
        <v>505.65</v>
      </c>
      <c r="R156" s="10">
        <v>505.65</v>
      </c>
      <c r="S156" s="10">
        <v>505.65</v>
      </c>
      <c r="T156" s="10">
        <v>505.65</v>
      </c>
      <c r="U156" s="10">
        <v>505.65</v>
      </c>
      <c r="V156" s="10">
        <v>505.65</v>
      </c>
      <c r="W156" s="10">
        <v>505.65</v>
      </c>
      <c r="X156" s="10">
        <v>505.65</v>
      </c>
      <c r="Y156" s="10">
        <f t="shared" si="2"/>
        <v>6067.7999999999993</v>
      </c>
    </row>
    <row r="157" spans="1:25" s="9" customFormat="1" ht="11.25" customHeight="1">
      <c r="A157" s="9">
        <v>2014</v>
      </c>
      <c r="B157" s="9" t="s">
        <v>573</v>
      </c>
      <c r="C157" s="9" t="s">
        <v>7</v>
      </c>
      <c r="D157" s="9" t="s">
        <v>9</v>
      </c>
      <c r="E157" s="9" t="s">
        <v>10</v>
      </c>
      <c r="F157" s="9" t="s">
        <v>8</v>
      </c>
      <c r="G157" s="9" t="s">
        <v>439</v>
      </c>
      <c r="H157" s="9" t="s">
        <v>9</v>
      </c>
      <c r="I157" s="9" t="s">
        <v>10</v>
      </c>
      <c r="J157" s="9" t="s">
        <v>14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>
        <f t="shared" si="2"/>
        <v>0</v>
      </c>
    </row>
    <row r="158" spans="1:25" s="9" customFormat="1" ht="11.25" customHeight="1">
      <c r="A158" s="9">
        <v>2014</v>
      </c>
      <c r="B158" s="9" t="s">
        <v>573</v>
      </c>
      <c r="C158" s="9" t="s">
        <v>7</v>
      </c>
      <c r="D158" s="9" t="s">
        <v>9</v>
      </c>
      <c r="E158" s="9" t="s">
        <v>10</v>
      </c>
      <c r="F158" s="9" t="s">
        <v>8</v>
      </c>
      <c r="G158" s="9" t="s">
        <v>439</v>
      </c>
      <c r="H158" s="9" t="s">
        <v>9</v>
      </c>
      <c r="I158" s="9" t="s">
        <v>10</v>
      </c>
      <c r="J158" s="9" t="s">
        <v>426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>
        <f t="shared" si="2"/>
        <v>0</v>
      </c>
    </row>
    <row r="159" spans="1:25" s="9" customFormat="1" ht="11.25" customHeight="1">
      <c r="A159" s="9">
        <v>2014</v>
      </c>
      <c r="B159" s="9" t="s">
        <v>573</v>
      </c>
      <c r="C159" s="9" t="s">
        <v>7</v>
      </c>
      <c r="D159" s="9" t="s">
        <v>9</v>
      </c>
      <c r="E159" s="9" t="s">
        <v>10</v>
      </c>
      <c r="F159" s="9" t="s">
        <v>8</v>
      </c>
      <c r="G159" s="9" t="s">
        <v>439</v>
      </c>
      <c r="H159" s="9" t="s">
        <v>9</v>
      </c>
      <c r="I159" s="9" t="s">
        <v>10</v>
      </c>
      <c r="J159" s="9" t="s">
        <v>420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>
        <f t="shared" si="2"/>
        <v>0</v>
      </c>
    </row>
    <row r="160" spans="1:25" s="9" customFormat="1" ht="11.25" customHeight="1">
      <c r="A160" s="9">
        <v>2014</v>
      </c>
      <c r="B160" s="9" t="s">
        <v>573</v>
      </c>
      <c r="C160" s="9" t="s">
        <v>7</v>
      </c>
      <c r="D160" s="9" t="s">
        <v>9</v>
      </c>
      <c r="E160" s="9" t="s">
        <v>10</v>
      </c>
      <c r="F160" s="9" t="s">
        <v>8</v>
      </c>
      <c r="G160" s="9" t="s">
        <v>439</v>
      </c>
      <c r="H160" s="9" t="s">
        <v>9</v>
      </c>
      <c r="I160" s="9" t="s">
        <v>10</v>
      </c>
      <c r="J160" s="9" t="s">
        <v>410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>
        <f t="shared" si="2"/>
        <v>0</v>
      </c>
    </row>
    <row r="161" spans="1:25" s="9" customFormat="1" ht="11.25" customHeight="1">
      <c r="A161" s="9">
        <v>2014</v>
      </c>
      <c r="B161" s="9" t="s">
        <v>573</v>
      </c>
      <c r="C161" s="9" t="s">
        <v>7</v>
      </c>
      <c r="D161" s="9" t="s">
        <v>9</v>
      </c>
      <c r="E161" s="9" t="s">
        <v>10</v>
      </c>
      <c r="F161" s="9" t="s">
        <v>8</v>
      </c>
      <c r="G161" s="9" t="s">
        <v>439</v>
      </c>
      <c r="H161" s="9" t="s">
        <v>9</v>
      </c>
      <c r="I161" s="9" t="s">
        <v>10</v>
      </c>
      <c r="J161" s="9" t="s">
        <v>415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>
        <f t="shared" si="2"/>
        <v>0</v>
      </c>
    </row>
    <row r="162" spans="1:25" s="9" customFormat="1" ht="11.25" customHeight="1">
      <c r="A162" s="9">
        <v>2014</v>
      </c>
      <c r="B162" s="9" t="s">
        <v>573</v>
      </c>
      <c r="C162" s="9" t="s">
        <v>7</v>
      </c>
      <c r="D162" s="9" t="s">
        <v>9</v>
      </c>
      <c r="E162" s="9" t="s">
        <v>10</v>
      </c>
      <c r="F162" s="9" t="s">
        <v>8</v>
      </c>
      <c r="G162" s="9" t="s">
        <v>439</v>
      </c>
      <c r="H162" s="9" t="s">
        <v>9</v>
      </c>
      <c r="I162" s="9" t="s">
        <v>10</v>
      </c>
      <c r="J162" s="9" t="s">
        <v>15</v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>
        <f t="shared" si="2"/>
        <v>0</v>
      </c>
    </row>
    <row r="163" spans="1:25" s="9" customFormat="1" ht="11.25" customHeight="1">
      <c r="A163" s="9">
        <v>2014</v>
      </c>
      <c r="B163" s="9" t="s">
        <v>573</v>
      </c>
      <c r="C163" s="9" t="s">
        <v>7</v>
      </c>
      <c r="D163" s="9" t="s">
        <v>9</v>
      </c>
      <c r="E163" s="9" t="s">
        <v>10</v>
      </c>
      <c r="F163" s="9" t="s">
        <v>8</v>
      </c>
      <c r="G163" s="9" t="s">
        <v>439</v>
      </c>
      <c r="H163" s="9" t="s">
        <v>9</v>
      </c>
      <c r="I163" s="9" t="s">
        <v>10</v>
      </c>
      <c r="J163" s="9" t="s">
        <v>11</v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>
        <f t="shared" si="2"/>
        <v>0</v>
      </c>
    </row>
    <row r="164" spans="1:25" s="9" customFormat="1" ht="11.25" customHeight="1">
      <c r="A164" s="9">
        <v>2014</v>
      </c>
      <c r="B164" s="9" t="s">
        <v>573</v>
      </c>
      <c r="C164" s="9" t="s">
        <v>7</v>
      </c>
      <c r="D164" s="9" t="s">
        <v>9</v>
      </c>
      <c r="E164" s="9" t="s">
        <v>10</v>
      </c>
      <c r="F164" s="9" t="s">
        <v>8</v>
      </c>
      <c r="G164" s="9" t="s">
        <v>439</v>
      </c>
      <c r="H164" s="9" t="s">
        <v>9</v>
      </c>
      <c r="I164" s="9" t="s">
        <v>10</v>
      </c>
      <c r="J164" s="9" t="s">
        <v>411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>
        <f t="shared" si="2"/>
        <v>0</v>
      </c>
    </row>
    <row r="165" spans="1:25" s="9" customFormat="1" ht="11.25" customHeight="1">
      <c r="A165" s="9">
        <v>2014</v>
      </c>
      <c r="B165" s="9" t="s">
        <v>573</v>
      </c>
      <c r="C165" s="9" t="s">
        <v>7</v>
      </c>
      <c r="D165" s="9" t="s">
        <v>7</v>
      </c>
      <c r="E165" s="9" t="s">
        <v>12</v>
      </c>
      <c r="F165" s="9" t="s">
        <v>8</v>
      </c>
      <c r="G165" s="9" t="s">
        <v>439</v>
      </c>
      <c r="H165" s="9" t="s">
        <v>12</v>
      </c>
      <c r="I165" s="9" t="s">
        <v>12</v>
      </c>
      <c r="J165" s="9" t="s">
        <v>13</v>
      </c>
      <c r="M165" s="10">
        <v>380</v>
      </c>
      <c r="N165" s="10">
        <v>380</v>
      </c>
      <c r="O165" s="10">
        <v>380</v>
      </c>
      <c r="P165" s="10">
        <v>380</v>
      </c>
      <c r="Q165" s="10">
        <v>380</v>
      </c>
      <c r="R165" s="10">
        <v>380</v>
      </c>
      <c r="S165" s="10">
        <v>380</v>
      </c>
      <c r="T165" s="10">
        <v>380</v>
      </c>
      <c r="U165" s="10">
        <v>380</v>
      </c>
      <c r="V165" s="10">
        <v>380</v>
      </c>
      <c r="W165" s="10">
        <v>380</v>
      </c>
      <c r="X165" s="10">
        <v>380</v>
      </c>
      <c r="Y165" s="10">
        <f t="shared" si="2"/>
        <v>4560</v>
      </c>
    </row>
    <row r="166" spans="1:25" s="9" customFormat="1" ht="11.25" customHeight="1">
      <c r="A166" s="9">
        <v>2014</v>
      </c>
      <c r="B166" s="9" t="s">
        <v>573</v>
      </c>
      <c r="C166" s="9" t="s">
        <v>7</v>
      </c>
      <c r="D166" s="9" t="s">
        <v>7</v>
      </c>
      <c r="E166" s="9" t="s">
        <v>25</v>
      </c>
      <c r="F166" s="9" t="s">
        <v>166</v>
      </c>
      <c r="G166" s="9" t="s">
        <v>439</v>
      </c>
      <c r="H166" s="9" t="s">
        <v>25</v>
      </c>
      <c r="I166" s="9" t="s">
        <v>25</v>
      </c>
      <c r="J166" s="9" t="s">
        <v>26</v>
      </c>
      <c r="M166" s="10">
        <v>6500</v>
      </c>
      <c r="N166" s="10">
        <v>6500</v>
      </c>
      <c r="O166" s="10">
        <v>6500</v>
      </c>
      <c r="P166" s="10">
        <v>6500</v>
      </c>
      <c r="Q166" s="10">
        <v>6500</v>
      </c>
      <c r="R166" s="10">
        <v>6500</v>
      </c>
      <c r="S166" s="10">
        <v>6500</v>
      </c>
      <c r="T166" s="10">
        <v>6500</v>
      </c>
      <c r="U166" s="10">
        <v>6500</v>
      </c>
      <c r="V166" s="10">
        <v>6500</v>
      </c>
      <c r="W166" s="10">
        <v>6500</v>
      </c>
      <c r="X166" s="10">
        <v>6500</v>
      </c>
      <c r="Y166" s="10">
        <f t="shared" si="2"/>
        <v>78000</v>
      </c>
    </row>
    <row r="167" spans="1:25" s="9" customFormat="1" ht="11.25" customHeight="1">
      <c r="A167" s="9">
        <v>2014</v>
      </c>
      <c r="B167" s="9" t="s">
        <v>573</v>
      </c>
      <c r="C167" s="9" t="s">
        <v>7</v>
      </c>
      <c r="D167" s="9" t="s">
        <v>7</v>
      </c>
      <c r="E167" s="9" t="s">
        <v>148</v>
      </c>
      <c r="F167" s="9" t="s">
        <v>166</v>
      </c>
      <c r="G167" s="9" t="s">
        <v>439</v>
      </c>
      <c r="H167" s="9" t="s">
        <v>148</v>
      </c>
      <c r="I167" s="9" t="s">
        <v>148</v>
      </c>
      <c r="J167" s="9" t="s">
        <v>148</v>
      </c>
      <c r="M167" s="10">
        <v>44910</v>
      </c>
      <c r="N167" s="10">
        <v>44910</v>
      </c>
      <c r="O167" s="10">
        <v>44910</v>
      </c>
      <c r="P167" s="10">
        <v>44910</v>
      </c>
      <c r="Q167" s="10">
        <v>44910</v>
      </c>
      <c r="R167" s="10">
        <v>44910</v>
      </c>
      <c r="S167" s="10">
        <v>44910</v>
      </c>
      <c r="T167" s="10">
        <v>44910</v>
      </c>
      <c r="U167" s="10">
        <v>44910</v>
      </c>
      <c r="V167" s="10">
        <v>44910</v>
      </c>
      <c r="W167" s="10">
        <v>44910</v>
      </c>
      <c r="X167" s="10">
        <v>44910</v>
      </c>
      <c r="Y167" s="10">
        <f t="shared" si="2"/>
        <v>538920</v>
      </c>
    </row>
    <row r="168" spans="1:25" s="9" customFormat="1" ht="11.25" customHeight="1">
      <c r="A168" s="9">
        <v>2014</v>
      </c>
      <c r="B168" s="9" t="s">
        <v>573</v>
      </c>
      <c r="C168" s="9" t="s">
        <v>7</v>
      </c>
      <c r="D168" s="9" t="s">
        <v>7</v>
      </c>
      <c r="E168" s="9" t="s">
        <v>327</v>
      </c>
      <c r="F168" s="9" t="s">
        <v>166</v>
      </c>
      <c r="G168" s="9" t="s">
        <v>439</v>
      </c>
      <c r="H168" s="9" t="s">
        <v>327</v>
      </c>
      <c r="I168" s="9" t="s">
        <v>327</v>
      </c>
      <c r="J168" s="9" t="s">
        <v>328</v>
      </c>
      <c r="M168" s="10">
        <v>1000</v>
      </c>
      <c r="N168" s="10">
        <v>1000</v>
      </c>
      <c r="O168" s="10">
        <v>1000</v>
      </c>
      <c r="P168" s="10">
        <v>1000</v>
      </c>
      <c r="Q168" s="10">
        <v>1000</v>
      </c>
      <c r="R168" s="10">
        <v>1000</v>
      </c>
      <c r="S168" s="10">
        <v>1000</v>
      </c>
      <c r="T168" s="10">
        <v>1000</v>
      </c>
      <c r="U168" s="10">
        <v>1000</v>
      </c>
      <c r="V168" s="10">
        <v>1000</v>
      </c>
      <c r="W168" s="10">
        <v>1000</v>
      </c>
      <c r="X168" s="10">
        <v>1000</v>
      </c>
      <c r="Y168" s="10">
        <f t="shared" si="2"/>
        <v>12000</v>
      </c>
    </row>
    <row r="169" spans="1:25" s="9" customFormat="1" ht="11.25" customHeight="1">
      <c r="A169" s="9">
        <v>2014</v>
      </c>
      <c r="B169" s="9" t="s">
        <v>573</v>
      </c>
      <c r="C169" s="9" t="s">
        <v>7</v>
      </c>
      <c r="D169" s="9" t="s">
        <v>7</v>
      </c>
      <c r="E169" s="9" t="s">
        <v>327</v>
      </c>
      <c r="F169" s="9" t="s">
        <v>166</v>
      </c>
      <c r="G169" s="9" t="s">
        <v>439</v>
      </c>
      <c r="H169" s="9" t="s">
        <v>327</v>
      </c>
      <c r="I169" s="9" t="s">
        <v>327</v>
      </c>
      <c r="J169" s="9" t="s">
        <v>331</v>
      </c>
      <c r="M169" s="10">
        <v>25000</v>
      </c>
      <c r="N169" s="10">
        <v>25000</v>
      </c>
      <c r="O169" s="10">
        <v>25000</v>
      </c>
      <c r="P169" s="10">
        <v>25000</v>
      </c>
      <c r="Q169" s="10">
        <v>25000</v>
      </c>
      <c r="R169" s="10">
        <v>25000</v>
      </c>
      <c r="S169" s="10">
        <v>25000</v>
      </c>
      <c r="T169" s="10">
        <v>25000</v>
      </c>
      <c r="U169" s="10">
        <v>25000</v>
      </c>
      <c r="V169" s="10">
        <v>25000</v>
      </c>
      <c r="W169" s="10">
        <v>25000</v>
      </c>
      <c r="X169" s="10">
        <v>25000</v>
      </c>
      <c r="Y169" s="10">
        <f t="shared" si="2"/>
        <v>300000</v>
      </c>
    </row>
    <row r="170" spans="1:25" s="9" customFormat="1" ht="11.25" customHeight="1">
      <c r="A170" s="9">
        <v>2014</v>
      </c>
      <c r="B170" s="9" t="s">
        <v>573</v>
      </c>
      <c r="C170" s="9" t="s">
        <v>7</v>
      </c>
      <c r="D170" s="9" t="s">
        <v>7</v>
      </c>
      <c r="E170" s="9" t="s">
        <v>27</v>
      </c>
      <c r="F170" s="9" t="s">
        <v>166</v>
      </c>
      <c r="G170" s="9" t="s">
        <v>439</v>
      </c>
      <c r="H170" s="9" t="s">
        <v>27</v>
      </c>
      <c r="I170" s="9" t="s">
        <v>27</v>
      </c>
      <c r="J170" s="9" t="s">
        <v>28</v>
      </c>
      <c r="M170" s="10">
        <v>50</v>
      </c>
      <c r="N170" s="10">
        <v>50</v>
      </c>
      <c r="O170" s="10">
        <v>50</v>
      </c>
      <c r="P170" s="10">
        <v>50</v>
      </c>
      <c r="Q170" s="10">
        <v>50</v>
      </c>
      <c r="R170" s="10">
        <v>50</v>
      </c>
      <c r="S170" s="10">
        <v>50</v>
      </c>
      <c r="T170" s="10">
        <v>50</v>
      </c>
      <c r="U170" s="10">
        <v>50</v>
      </c>
      <c r="V170" s="10">
        <v>50</v>
      </c>
      <c r="W170" s="10">
        <v>50</v>
      </c>
      <c r="X170" s="10">
        <v>50</v>
      </c>
      <c r="Y170" s="10">
        <f t="shared" si="2"/>
        <v>600</v>
      </c>
    </row>
    <row r="171" spans="1:25" s="9" customFormat="1" ht="11.25" customHeight="1">
      <c r="A171" s="9">
        <v>2014</v>
      </c>
      <c r="B171" s="9" t="s">
        <v>573</v>
      </c>
      <c r="C171" s="9" t="s">
        <v>7</v>
      </c>
      <c r="D171" s="9" t="s">
        <v>7</v>
      </c>
      <c r="E171" s="9" t="s">
        <v>149</v>
      </c>
      <c r="F171" s="9" t="s">
        <v>166</v>
      </c>
      <c r="G171" s="9" t="s">
        <v>439</v>
      </c>
      <c r="H171" s="9" t="s">
        <v>149</v>
      </c>
      <c r="I171" s="9" t="s">
        <v>149</v>
      </c>
      <c r="J171" s="9" t="s">
        <v>150</v>
      </c>
      <c r="M171" s="10">
        <v>2520.8000000000002</v>
      </c>
      <c r="N171" s="10">
        <v>2520.8000000000002</v>
      </c>
      <c r="O171" s="10">
        <v>2520.8000000000002</v>
      </c>
      <c r="P171" s="10">
        <v>2520.8000000000002</v>
      </c>
      <c r="Q171" s="10">
        <v>2520.8000000000002</v>
      </c>
      <c r="R171" s="10">
        <v>2520.8000000000002</v>
      </c>
      <c r="S171" s="10">
        <v>2520.8000000000002</v>
      </c>
      <c r="T171" s="10">
        <v>2520.8000000000002</v>
      </c>
      <c r="U171" s="10">
        <v>2520.8000000000002</v>
      </c>
      <c r="V171" s="10">
        <v>2520.8000000000002</v>
      </c>
      <c r="W171" s="10">
        <v>2520.8000000000002</v>
      </c>
      <c r="X171" s="10">
        <v>2520.8000000000002</v>
      </c>
      <c r="Y171" s="10">
        <f t="shared" si="2"/>
        <v>30249.599999999995</v>
      </c>
    </row>
    <row r="172" spans="1:25" s="9" customFormat="1" ht="11.25" customHeight="1">
      <c r="A172" s="9">
        <v>2014</v>
      </c>
      <c r="B172" s="9" t="s">
        <v>573</v>
      </c>
      <c r="C172" s="9" t="s">
        <v>7</v>
      </c>
      <c r="D172" s="9" t="s">
        <v>149</v>
      </c>
      <c r="E172" s="9" t="s">
        <v>149</v>
      </c>
      <c r="F172" s="9" t="s">
        <v>166</v>
      </c>
      <c r="G172" s="9" t="s">
        <v>439</v>
      </c>
      <c r="H172" s="9" t="s">
        <v>149</v>
      </c>
      <c r="I172" s="9" t="s">
        <v>149</v>
      </c>
      <c r="J172" s="9" t="s">
        <v>335</v>
      </c>
      <c r="M172" s="10">
        <v>50000</v>
      </c>
      <c r="N172" s="10">
        <v>50000</v>
      </c>
      <c r="O172" s="10">
        <v>50000</v>
      </c>
      <c r="P172" s="10">
        <v>50000</v>
      </c>
      <c r="Q172" s="10">
        <v>50000</v>
      </c>
      <c r="R172" s="10">
        <v>50000</v>
      </c>
      <c r="S172" s="10">
        <v>50000</v>
      </c>
      <c r="T172" s="10">
        <v>50000</v>
      </c>
      <c r="U172" s="10">
        <v>50000</v>
      </c>
      <c r="V172" s="10">
        <v>50000</v>
      </c>
      <c r="W172" s="10">
        <v>50000</v>
      </c>
      <c r="X172" s="10">
        <v>50000</v>
      </c>
      <c r="Y172" s="10">
        <f t="shared" si="2"/>
        <v>600000</v>
      </c>
    </row>
    <row r="173" spans="1:25" s="9" customFormat="1" ht="11.25" customHeight="1">
      <c r="A173" s="9">
        <v>2014</v>
      </c>
      <c r="B173" s="9" t="s">
        <v>573</v>
      </c>
      <c r="C173" s="9" t="s">
        <v>7</v>
      </c>
      <c r="D173" s="9" t="s">
        <v>7</v>
      </c>
      <c r="E173" s="9" t="s">
        <v>18</v>
      </c>
      <c r="F173" s="9" t="s">
        <v>166</v>
      </c>
      <c r="G173" s="9" t="s">
        <v>439</v>
      </c>
      <c r="H173" s="9" t="s">
        <v>18</v>
      </c>
      <c r="I173" s="9" t="s">
        <v>18</v>
      </c>
      <c r="J173" s="9" t="s">
        <v>43</v>
      </c>
      <c r="M173" s="10">
        <v>1500</v>
      </c>
      <c r="N173" s="10">
        <v>1500</v>
      </c>
      <c r="O173" s="10">
        <v>1500</v>
      </c>
      <c r="P173" s="10">
        <v>1500</v>
      </c>
      <c r="Q173" s="10">
        <v>1500</v>
      </c>
      <c r="R173" s="10">
        <v>1500</v>
      </c>
      <c r="S173" s="10">
        <v>1500</v>
      </c>
      <c r="T173" s="10">
        <v>1500</v>
      </c>
      <c r="U173" s="10">
        <v>1500</v>
      </c>
      <c r="V173" s="10">
        <v>1500</v>
      </c>
      <c r="W173" s="10">
        <v>1500</v>
      </c>
      <c r="X173" s="10">
        <v>1500</v>
      </c>
      <c r="Y173" s="10">
        <f t="shared" si="2"/>
        <v>18000</v>
      </c>
    </row>
    <row r="174" spans="1:25" s="9" customFormat="1" ht="11.25" customHeight="1">
      <c r="A174" s="9">
        <v>2014</v>
      </c>
      <c r="B174" s="9" t="s">
        <v>573</v>
      </c>
      <c r="C174" s="9" t="s">
        <v>7</v>
      </c>
      <c r="D174" s="9" t="s">
        <v>7</v>
      </c>
      <c r="E174" s="9" t="s">
        <v>29</v>
      </c>
      <c r="F174" s="9" t="s">
        <v>166</v>
      </c>
      <c r="G174" s="9" t="s">
        <v>439</v>
      </c>
      <c r="H174" s="9" t="s">
        <v>29</v>
      </c>
      <c r="I174" s="9" t="s">
        <v>29</v>
      </c>
      <c r="J174" s="9" t="s">
        <v>332</v>
      </c>
      <c r="M174" s="10">
        <v>4000</v>
      </c>
      <c r="N174" s="10">
        <v>4000</v>
      </c>
      <c r="O174" s="10">
        <v>4000</v>
      </c>
      <c r="P174" s="10">
        <v>4000</v>
      </c>
      <c r="Q174" s="10">
        <v>4000</v>
      </c>
      <c r="R174" s="10">
        <v>4000</v>
      </c>
      <c r="S174" s="10">
        <v>4000</v>
      </c>
      <c r="T174" s="10">
        <v>4000</v>
      </c>
      <c r="U174" s="10">
        <v>4000</v>
      </c>
      <c r="V174" s="10">
        <v>4000</v>
      </c>
      <c r="W174" s="10">
        <v>4000</v>
      </c>
      <c r="X174" s="10">
        <v>4000</v>
      </c>
      <c r="Y174" s="10">
        <f t="shared" si="2"/>
        <v>48000</v>
      </c>
    </row>
    <row r="175" spans="1:25" s="9" customFormat="1" ht="11.25" customHeight="1">
      <c r="A175" s="9">
        <v>2014</v>
      </c>
      <c r="B175" s="9" t="s">
        <v>573</v>
      </c>
      <c r="C175" s="9" t="s">
        <v>7</v>
      </c>
      <c r="D175" s="9" t="s">
        <v>7</v>
      </c>
      <c r="E175" s="9" t="s">
        <v>29</v>
      </c>
      <c r="F175" s="9" t="s">
        <v>166</v>
      </c>
      <c r="G175" s="9" t="s">
        <v>439</v>
      </c>
      <c r="H175" s="9" t="s">
        <v>29</v>
      </c>
      <c r="I175" s="9" t="s">
        <v>29</v>
      </c>
      <c r="J175" s="9" t="s">
        <v>31</v>
      </c>
      <c r="L175" s="9" t="s">
        <v>167</v>
      </c>
      <c r="M175" s="10">
        <v>20000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>
        <f t="shared" si="2"/>
        <v>20000</v>
      </c>
    </row>
    <row r="176" spans="1:25" s="9" customFormat="1" ht="11.25" customHeight="1">
      <c r="A176" s="9">
        <v>2014</v>
      </c>
      <c r="B176" s="9" t="s">
        <v>573</v>
      </c>
      <c r="C176" s="9" t="s">
        <v>7</v>
      </c>
      <c r="D176" s="9" t="s">
        <v>7</v>
      </c>
      <c r="E176" s="9" t="s">
        <v>12</v>
      </c>
      <c r="F176" s="9" t="s">
        <v>166</v>
      </c>
      <c r="G176" s="9" t="s">
        <v>439</v>
      </c>
      <c r="H176" s="9" t="s">
        <v>12</v>
      </c>
      <c r="I176" s="9" t="s">
        <v>12</v>
      </c>
      <c r="J176" s="9" t="s">
        <v>134</v>
      </c>
      <c r="M176" s="10">
        <v>110</v>
      </c>
      <c r="N176" s="10">
        <v>110</v>
      </c>
      <c r="O176" s="10">
        <v>110</v>
      </c>
      <c r="P176" s="10">
        <v>110</v>
      </c>
      <c r="Q176" s="10">
        <v>110</v>
      </c>
      <c r="R176" s="10">
        <v>110</v>
      </c>
      <c r="S176" s="10">
        <v>110</v>
      </c>
      <c r="T176" s="10">
        <v>110</v>
      </c>
      <c r="U176" s="10">
        <v>110</v>
      </c>
      <c r="V176" s="10">
        <v>110</v>
      </c>
      <c r="W176" s="10">
        <v>110</v>
      </c>
      <c r="X176" s="10">
        <v>110</v>
      </c>
      <c r="Y176" s="10">
        <f t="shared" si="2"/>
        <v>1320</v>
      </c>
    </row>
    <row r="177" spans="1:25" s="9" customFormat="1" ht="11.25" customHeight="1">
      <c r="A177" s="9">
        <v>2014</v>
      </c>
      <c r="B177" s="9" t="s">
        <v>573</v>
      </c>
      <c r="C177" s="9" t="s">
        <v>7</v>
      </c>
      <c r="D177" s="9" t="s">
        <v>7</v>
      </c>
      <c r="E177" s="9" t="s">
        <v>12</v>
      </c>
      <c r="F177" s="9" t="s">
        <v>166</v>
      </c>
      <c r="G177" s="9" t="s">
        <v>439</v>
      </c>
      <c r="H177" s="9" t="s">
        <v>12</v>
      </c>
      <c r="I177" s="9" t="s">
        <v>12</v>
      </c>
      <c r="J177" s="9" t="s">
        <v>13</v>
      </c>
      <c r="M177" s="10">
        <v>380</v>
      </c>
      <c r="N177" s="10">
        <v>380</v>
      </c>
      <c r="O177" s="10">
        <v>380</v>
      </c>
      <c r="P177" s="10">
        <v>380</v>
      </c>
      <c r="Q177" s="10">
        <v>380</v>
      </c>
      <c r="R177" s="10">
        <v>380</v>
      </c>
      <c r="S177" s="10">
        <v>380</v>
      </c>
      <c r="T177" s="10">
        <v>380</v>
      </c>
      <c r="U177" s="10">
        <v>380</v>
      </c>
      <c r="V177" s="10">
        <v>380</v>
      </c>
      <c r="W177" s="10">
        <v>380</v>
      </c>
      <c r="X177" s="10">
        <v>380</v>
      </c>
      <c r="Y177" s="10">
        <f t="shared" si="2"/>
        <v>4560</v>
      </c>
    </row>
    <row r="178" spans="1:25" s="9" customFormat="1" ht="11.25" customHeight="1">
      <c r="A178" s="9">
        <v>2014</v>
      </c>
      <c r="B178" s="9" t="s">
        <v>573</v>
      </c>
      <c r="C178" s="9" t="s">
        <v>7</v>
      </c>
      <c r="D178" s="9" t="s">
        <v>329</v>
      </c>
      <c r="E178" s="9" t="s">
        <v>329</v>
      </c>
      <c r="F178" s="9" t="s">
        <v>166</v>
      </c>
      <c r="G178" s="9" t="s">
        <v>439</v>
      </c>
      <c r="H178" s="9" t="s">
        <v>329</v>
      </c>
      <c r="I178" s="9" t="s">
        <v>329</v>
      </c>
      <c r="J178" s="9" t="s">
        <v>333</v>
      </c>
      <c r="M178" s="10">
        <v>5000</v>
      </c>
      <c r="N178" s="10">
        <v>5000</v>
      </c>
      <c r="O178" s="10">
        <v>5000</v>
      </c>
      <c r="P178" s="10">
        <v>5000</v>
      </c>
      <c r="Q178" s="10">
        <v>5000</v>
      </c>
      <c r="R178" s="10">
        <v>5000</v>
      </c>
      <c r="S178" s="10">
        <v>5000</v>
      </c>
      <c r="T178" s="10">
        <v>5000</v>
      </c>
      <c r="U178" s="10">
        <v>5000</v>
      </c>
      <c r="V178" s="10">
        <v>5000</v>
      </c>
      <c r="W178" s="10">
        <v>5000</v>
      </c>
      <c r="X178" s="10">
        <v>5000</v>
      </c>
      <c r="Y178" s="10">
        <f t="shared" si="2"/>
        <v>60000</v>
      </c>
    </row>
    <row r="179" spans="1:25" s="9" customFormat="1" ht="11.25" customHeight="1">
      <c r="A179" s="9">
        <v>2014</v>
      </c>
      <c r="B179" s="9" t="s">
        <v>573</v>
      </c>
      <c r="C179" s="9" t="s">
        <v>7</v>
      </c>
      <c r="D179" s="9" t="s">
        <v>329</v>
      </c>
      <c r="E179" s="9" t="s">
        <v>329</v>
      </c>
      <c r="F179" s="9" t="s">
        <v>166</v>
      </c>
      <c r="G179" s="9" t="s">
        <v>439</v>
      </c>
      <c r="H179" s="9" t="s">
        <v>329</v>
      </c>
      <c r="I179" s="9" t="s">
        <v>329</v>
      </c>
      <c r="J179" s="9" t="s">
        <v>330</v>
      </c>
      <c r="M179" s="10">
        <v>300000</v>
      </c>
      <c r="N179" s="10">
        <v>425561</v>
      </c>
      <c r="O179" s="10">
        <v>425561</v>
      </c>
      <c r="P179" s="10">
        <v>425561</v>
      </c>
      <c r="Q179" s="10">
        <v>425561</v>
      </c>
      <c r="R179" s="10">
        <v>425561</v>
      </c>
      <c r="S179" s="10">
        <v>425561</v>
      </c>
      <c r="T179" s="10">
        <v>425561</v>
      </c>
      <c r="U179" s="10">
        <v>425561</v>
      </c>
      <c r="V179" s="10">
        <v>425561</v>
      </c>
      <c r="W179" s="10">
        <v>425561</v>
      </c>
      <c r="X179" s="10">
        <v>425561</v>
      </c>
      <c r="Y179" s="10">
        <f t="shared" si="2"/>
        <v>4981171</v>
      </c>
    </row>
    <row r="180" spans="1:25" s="9" customFormat="1" ht="11.25" customHeight="1">
      <c r="A180" s="9">
        <v>2014</v>
      </c>
      <c r="B180" s="9" t="s">
        <v>573</v>
      </c>
      <c r="C180" s="9" t="s">
        <v>7</v>
      </c>
      <c r="D180" s="9" t="s">
        <v>329</v>
      </c>
      <c r="E180" s="9" t="s">
        <v>329</v>
      </c>
      <c r="F180" s="9" t="s">
        <v>166</v>
      </c>
      <c r="G180" s="9" t="s">
        <v>439</v>
      </c>
      <c r="H180" s="9" t="s">
        <v>329</v>
      </c>
      <c r="I180" s="9" t="s">
        <v>329</v>
      </c>
      <c r="J180" s="9" t="s">
        <v>334</v>
      </c>
      <c r="M180" s="10">
        <v>20000</v>
      </c>
      <c r="N180" s="10">
        <v>20000</v>
      </c>
      <c r="O180" s="10">
        <v>20000</v>
      </c>
      <c r="P180" s="10">
        <v>20000</v>
      </c>
      <c r="Q180" s="10">
        <v>20000</v>
      </c>
      <c r="R180" s="10">
        <v>20000</v>
      </c>
      <c r="S180" s="10">
        <v>20000</v>
      </c>
      <c r="T180" s="10">
        <v>20000</v>
      </c>
      <c r="U180" s="10">
        <v>20000</v>
      </c>
      <c r="V180" s="10">
        <v>20000</v>
      </c>
      <c r="W180" s="10">
        <v>20000</v>
      </c>
      <c r="X180" s="10">
        <v>20000</v>
      </c>
      <c r="Y180" s="10">
        <f t="shared" si="2"/>
        <v>240000</v>
      </c>
    </row>
    <row r="181" spans="1:25" s="9" customFormat="1" ht="11.25" customHeight="1">
      <c r="A181" s="9">
        <v>2014</v>
      </c>
      <c r="B181" s="9" t="s">
        <v>573</v>
      </c>
      <c r="C181" s="9" t="s">
        <v>7</v>
      </c>
      <c r="D181" s="9" t="s">
        <v>7</v>
      </c>
      <c r="E181" s="9" t="s">
        <v>25</v>
      </c>
      <c r="F181" s="9" t="s">
        <v>247</v>
      </c>
      <c r="G181" s="9" t="s">
        <v>439</v>
      </c>
      <c r="H181" s="9" t="s">
        <v>25</v>
      </c>
      <c r="I181" s="9" t="s">
        <v>25</v>
      </c>
      <c r="J181" s="9" t="s">
        <v>26</v>
      </c>
      <c r="K181" s="9" t="s">
        <v>248</v>
      </c>
      <c r="M181" s="10">
        <v>5500</v>
      </c>
      <c r="N181" s="10">
        <v>5500</v>
      </c>
      <c r="O181" s="10">
        <v>5500</v>
      </c>
      <c r="P181" s="10">
        <v>5500</v>
      </c>
      <c r="Q181" s="10">
        <v>5500</v>
      </c>
      <c r="R181" s="10">
        <v>5500</v>
      </c>
      <c r="S181" s="10">
        <v>5500</v>
      </c>
      <c r="T181" s="10">
        <v>5500</v>
      </c>
      <c r="U181" s="10">
        <v>5500</v>
      </c>
      <c r="V181" s="10">
        <v>5500</v>
      </c>
      <c r="W181" s="10">
        <v>5500</v>
      </c>
      <c r="X181" s="10">
        <v>5500</v>
      </c>
      <c r="Y181" s="10">
        <f t="shared" si="2"/>
        <v>66000</v>
      </c>
    </row>
    <row r="182" spans="1:25" s="9" customFormat="1" ht="11.25" customHeight="1">
      <c r="A182" s="9">
        <v>2014</v>
      </c>
      <c r="B182" s="9" t="s">
        <v>573</v>
      </c>
      <c r="C182" s="9" t="s">
        <v>7</v>
      </c>
      <c r="D182" s="9" t="s">
        <v>7</v>
      </c>
      <c r="E182" s="9" t="s">
        <v>148</v>
      </c>
      <c r="F182" s="9" t="s">
        <v>247</v>
      </c>
      <c r="G182" s="9" t="s">
        <v>439</v>
      </c>
      <c r="H182" s="9" t="s">
        <v>148</v>
      </c>
      <c r="I182" s="9" t="s">
        <v>148</v>
      </c>
      <c r="J182" s="9" t="s">
        <v>148</v>
      </c>
      <c r="M182" s="10">
        <v>18016</v>
      </c>
      <c r="N182" s="10">
        <v>18016</v>
      </c>
      <c r="O182" s="10">
        <v>18016</v>
      </c>
      <c r="P182" s="10">
        <v>18016</v>
      </c>
      <c r="Q182" s="10">
        <v>18016</v>
      </c>
      <c r="R182" s="10">
        <v>18016</v>
      </c>
      <c r="S182" s="10">
        <v>18016</v>
      </c>
      <c r="T182" s="10">
        <v>18016</v>
      </c>
      <c r="U182" s="10">
        <v>18016</v>
      </c>
      <c r="V182" s="10">
        <v>18016</v>
      </c>
      <c r="W182" s="10">
        <v>18016</v>
      </c>
      <c r="X182" s="10">
        <v>18016</v>
      </c>
      <c r="Y182" s="10">
        <f t="shared" si="2"/>
        <v>216192</v>
      </c>
    </row>
    <row r="183" spans="1:25" s="9" customFormat="1" ht="11.25" customHeight="1">
      <c r="A183" s="9">
        <v>2014</v>
      </c>
      <c r="B183" s="9" t="s">
        <v>573</v>
      </c>
      <c r="C183" s="9" t="s">
        <v>7</v>
      </c>
      <c r="D183" s="9" t="s">
        <v>7</v>
      </c>
      <c r="E183" s="9" t="s">
        <v>37</v>
      </c>
      <c r="F183" s="9" t="s">
        <v>247</v>
      </c>
      <c r="G183" s="9" t="s">
        <v>439</v>
      </c>
      <c r="H183" s="9" t="s">
        <v>37</v>
      </c>
      <c r="I183" s="9" t="s">
        <v>37</v>
      </c>
      <c r="J183" s="9" t="s">
        <v>37</v>
      </c>
      <c r="K183" s="9" t="s">
        <v>248</v>
      </c>
      <c r="M183" s="10">
        <v>1100</v>
      </c>
      <c r="N183" s="10">
        <v>1100</v>
      </c>
      <c r="O183" s="10">
        <v>1100</v>
      </c>
      <c r="P183" s="10">
        <v>1100</v>
      </c>
      <c r="Q183" s="10">
        <v>1100</v>
      </c>
      <c r="R183" s="10">
        <v>1100</v>
      </c>
      <c r="S183" s="10">
        <v>1100</v>
      </c>
      <c r="T183" s="10">
        <v>1100</v>
      </c>
      <c r="U183" s="10">
        <v>1100</v>
      </c>
      <c r="V183" s="10">
        <v>1100</v>
      </c>
      <c r="W183" s="10">
        <v>1100</v>
      </c>
      <c r="X183" s="10">
        <v>1100</v>
      </c>
      <c r="Y183" s="10">
        <f t="shared" si="2"/>
        <v>13200</v>
      </c>
    </row>
    <row r="184" spans="1:25" s="9" customFormat="1" ht="11.25" customHeight="1">
      <c r="A184" s="9">
        <v>2014</v>
      </c>
      <c r="B184" s="9" t="s">
        <v>573</v>
      </c>
      <c r="C184" s="9" t="s">
        <v>7</v>
      </c>
      <c r="D184" s="9" t="s">
        <v>7</v>
      </c>
      <c r="E184" s="9" t="s">
        <v>27</v>
      </c>
      <c r="F184" s="9" t="s">
        <v>247</v>
      </c>
      <c r="G184" s="9" t="s">
        <v>439</v>
      </c>
      <c r="H184" s="9" t="s">
        <v>27</v>
      </c>
      <c r="I184" s="9" t="s">
        <v>27</v>
      </c>
      <c r="J184" s="9" t="s">
        <v>28</v>
      </c>
      <c r="M184" s="10">
        <v>150</v>
      </c>
      <c r="N184" s="10">
        <v>150</v>
      </c>
      <c r="O184" s="10">
        <v>150</v>
      </c>
      <c r="P184" s="10">
        <v>150</v>
      </c>
      <c r="Q184" s="10">
        <v>150</v>
      </c>
      <c r="R184" s="10">
        <v>150</v>
      </c>
      <c r="S184" s="10">
        <v>150</v>
      </c>
      <c r="T184" s="10">
        <v>150</v>
      </c>
      <c r="U184" s="10">
        <v>150</v>
      </c>
      <c r="V184" s="10">
        <v>150</v>
      </c>
      <c r="W184" s="10">
        <v>150</v>
      </c>
      <c r="X184" s="10">
        <v>150</v>
      </c>
      <c r="Y184" s="10">
        <f t="shared" si="2"/>
        <v>1800</v>
      </c>
    </row>
    <row r="185" spans="1:25" s="9" customFormat="1" ht="11.25" customHeight="1">
      <c r="A185" s="9">
        <v>2014</v>
      </c>
      <c r="B185" s="9" t="s">
        <v>573</v>
      </c>
      <c r="C185" s="9" t="s">
        <v>7</v>
      </c>
      <c r="D185" s="9" t="s">
        <v>7</v>
      </c>
      <c r="E185" s="9" t="s">
        <v>149</v>
      </c>
      <c r="F185" s="9" t="s">
        <v>247</v>
      </c>
      <c r="G185" s="9" t="s">
        <v>439</v>
      </c>
      <c r="H185" s="9" t="s">
        <v>149</v>
      </c>
      <c r="I185" s="9" t="s">
        <v>149</v>
      </c>
      <c r="J185" s="9" t="s">
        <v>150</v>
      </c>
      <c r="M185" s="10">
        <v>1487.2</v>
      </c>
      <c r="N185" s="10">
        <v>1487.2</v>
      </c>
      <c r="O185" s="10">
        <v>1487.2</v>
      </c>
      <c r="P185" s="10">
        <v>1487.2</v>
      </c>
      <c r="Q185" s="10">
        <v>1487.2</v>
      </c>
      <c r="R185" s="10">
        <v>1487.2</v>
      </c>
      <c r="S185" s="10">
        <v>1487.2</v>
      </c>
      <c r="T185" s="10">
        <v>1487.2</v>
      </c>
      <c r="U185" s="10">
        <v>1487.2</v>
      </c>
      <c r="V185" s="10">
        <v>1487.2</v>
      </c>
      <c r="W185" s="10">
        <v>1487.2</v>
      </c>
      <c r="X185" s="10">
        <v>1487.2</v>
      </c>
      <c r="Y185" s="10">
        <f t="shared" si="2"/>
        <v>17846.400000000005</v>
      </c>
    </row>
    <row r="186" spans="1:25" s="9" customFormat="1" ht="11.25" customHeight="1">
      <c r="A186" s="9">
        <v>2014</v>
      </c>
      <c r="B186" s="9" t="s">
        <v>573</v>
      </c>
      <c r="C186" s="9" t="s">
        <v>7</v>
      </c>
      <c r="D186" s="9" t="s">
        <v>7</v>
      </c>
      <c r="E186" s="9" t="s">
        <v>18</v>
      </c>
      <c r="F186" s="9" t="s">
        <v>247</v>
      </c>
      <c r="G186" s="9" t="s">
        <v>439</v>
      </c>
      <c r="H186" s="9" t="s">
        <v>18</v>
      </c>
      <c r="I186" s="9" t="s">
        <v>18</v>
      </c>
      <c r="J186" s="9" t="s">
        <v>44</v>
      </c>
      <c r="K186" s="9" t="s">
        <v>249</v>
      </c>
      <c r="M186" s="10">
        <v>50</v>
      </c>
      <c r="N186" s="10">
        <v>50</v>
      </c>
      <c r="O186" s="10">
        <v>50</v>
      </c>
      <c r="P186" s="10">
        <v>50</v>
      </c>
      <c r="Q186" s="10">
        <v>50</v>
      </c>
      <c r="R186" s="10">
        <v>50</v>
      </c>
      <c r="S186" s="10">
        <v>50</v>
      </c>
      <c r="T186" s="10">
        <v>50</v>
      </c>
      <c r="U186" s="10">
        <v>50</v>
      </c>
      <c r="V186" s="10">
        <v>50</v>
      </c>
      <c r="W186" s="10">
        <v>50</v>
      </c>
      <c r="X186" s="10">
        <v>50</v>
      </c>
      <c r="Y186" s="10">
        <f t="shared" si="2"/>
        <v>600</v>
      </c>
    </row>
    <row r="187" spans="1:25" s="9" customFormat="1" ht="11.25" customHeight="1">
      <c r="A187" s="9">
        <v>2014</v>
      </c>
      <c r="B187" s="9" t="s">
        <v>573</v>
      </c>
      <c r="C187" s="9" t="s">
        <v>7</v>
      </c>
      <c r="D187" s="9" t="s">
        <v>7</v>
      </c>
      <c r="E187" s="9" t="s">
        <v>18</v>
      </c>
      <c r="F187" s="9" t="s">
        <v>247</v>
      </c>
      <c r="G187" s="9" t="s">
        <v>439</v>
      </c>
      <c r="H187" s="9" t="s">
        <v>18</v>
      </c>
      <c r="I187" s="9" t="s">
        <v>18</v>
      </c>
      <c r="J187" s="9" t="s">
        <v>44</v>
      </c>
      <c r="K187" s="9" t="s">
        <v>248</v>
      </c>
      <c r="M187" s="10">
        <v>400</v>
      </c>
      <c r="N187" s="10">
        <v>400</v>
      </c>
      <c r="O187" s="10">
        <v>500</v>
      </c>
      <c r="P187" s="10">
        <v>400</v>
      </c>
      <c r="Q187" s="10">
        <v>500</v>
      </c>
      <c r="R187" s="10">
        <v>500</v>
      </c>
      <c r="S187" s="10">
        <v>400</v>
      </c>
      <c r="T187" s="10">
        <v>500</v>
      </c>
      <c r="U187" s="10">
        <v>400</v>
      </c>
      <c r="V187" s="10">
        <v>400</v>
      </c>
      <c r="W187" s="10">
        <v>500</v>
      </c>
      <c r="X187" s="10">
        <v>400</v>
      </c>
      <c r="Y187" s="10">
        <f t="shared" si="2"/>
        <v>5300</v>
      </c>
    </row>
    <row r="188" spans="1:25" s="9" customFormat="1" ht="11.25" customHeight="1">
      <c r="A188" s="9">
        <v>2014</v>
      </c>
      <c r="B188" s="9" t="s">
        <v>573</v>
      </c>
      <c r="C188" s="9" t="s">
        <v>7</v>
      </c>
      <c r="D188" s="9" t="s">
        <v>7</v>
      </c>
      <c r="E188" s="9" t="s">
        <v>29</v>
      </c>
      <c r="F188" s="9" t="s">
        <v>247</v>
      </c>
      <c r="G188" s="9" t="s">
        <v>439</v>
      </c>
      <c r="H188" s="9" t="s">
        <v>29</v>
      </c>
      <c r="I188" s="9" t="s">
        <v>29</v>
      </c>
      <c r="J188" s="9" t="s">
        <v>31</v>
      </c>
      <c r="M188" s="10">
        <v>16108</v>
      </c>
      <c r="N188" s="10">
        <v>16108</v>
      </c>
      <c r="O188" s="10">
        <v>19024</v>
      </c>
      <c r="P188" s="10">
        <v>16108</v>
      </c>
      <c r="Q188" s="10">
        <v>16108</v>
      </c>
      <c r="R188" s="10">
        <v>19024</v>
      </c>
      <c r="S188" s="10">
        <v>16108</v>
      </c>
      <c r="T188" s="10">
        <v>16108</v>
      </c>
      <c r="U188" s="10">
        <v>19024</v>
      </c>
      <c r="V188" s="10">
        <v>16108</v>
      </c>
      <c r="W188" s="10">
        <v>16108</v>
      </c>
      <c r="X188" s="10">
        <v>19024</v>
      </c>
      <c r="Y188" s="10">
        <f t="shared" si="2"/>
        <v>204960</v>
      </c>
    </row>
    <row r="189" spans="1:25" s="9" customFormat="1" ht="11.25" customHeight="1">
      <c r="A189" s="9">
        <v>2014</v>
      </c>
      <c r="B189" s="9" t="s">
        <v>573</v>
      </c>
      <c r="C189" s="9" t="s">
        <v>7</v>
      </c>
      <c r="D189" s="9" t="s">
        <v>7</v>
      </c>
      <c r="E189" s="9" t="s">
        <v>29</v>
      </c>
      <c r="F189" s="9" t="s">
        <v>247</v>
      </c>
      <c r="G189" s="9" t="s">
        <v>439</v>
      </c>
      <c r="H189" s="9" t="s">
        <v>29</v>
      </c>
      <c r="I189" s="9" t="s">
        <v>29</v>
      </c>
      <c r="J189" s="9" t="s">
        <v>250</v>
      </c>
      <c r="M189" s="10">
        <v>6500</v>
      </c>
      <c r="N189" s="10">
        <v>6500</v>
      </c>
      <c r="O189" s="10">
        <v>6500</v>
      </c>
      <c r="P189" s="10">
        <v>6500</v>
      </c>
      <c r="Q189" s="10">
        <v>6500</v>
      </c>
      <c r="R189" s="10">
        <v>6500</v>
      </c>
      <c r="S189" s="10">
        <v>6500</v>
      </c>
      <c r="T189" s="10">
        <v>6500</v>
      </c>
      <c r="U189" s="10">
        <v>6500</v>
      </c>
      <c r="V189" s="10">
        <v>6500</v>
      </c>
      <c r="W189" s="10">
        <v>6500</v>
      </c>
      <c r="X189" s="10">
        <v>6500</v>
      </c>
      <c r="Y189" s="10">
        <f t="shared" si="2"/>
        <v>78000</v>
      </c>
    </row>
    <row r="190" spans="1:25" s="9" customFormat="1" ht="11.25" customHeight="1">
      <c r="A190" s="9">
        <v>2014</v>
      </c>
      <c r="B190" s="9" t="s">
        <v>573</v>
      </c>
      <c r="C190" s="9" t="s">
        <v>7</v>
      </c>
      <c r="D190" s="9" t="s">
        <v>7</v>
      </c>
      <c r="E190" s="9" t="s">
        <v>12</v>
      </c>
      <c r="F190" s="9" t="s">
        <v>247</v>
      </c>
      <c r="G190" s="9" t="s">
        <v>439</v>
      </c>
      <c r="H190" s="9" t="s">
        <v>12</v>
      </c>
      <c r="I190" s="9" t="s">
        <v>12</v>
      </c>
      <c r="J190" s="9" t="s">
        <v>13</v>
      </c>
      <c r="K190" s="9" t="s">
        <v>249</v>
      </c>
      <c r="M190" s="10">
        <v>61</v>
      </c>
      <c r="N190" s="10">
        <v>61</v>
      </c>
      <c r="O190" s="10">
        <v>61</v>
      </c>
      <c r="P190" s="10">
        <v>61</v>
      </c>
      <c r="Q190" s="10">
        <v>61</v>
      </c>
      <c r="R190" s="10">
        <v>61</v>
      </c>
      <c r="S190" s="10">
        <v>61</v>
      </c>
      <c r="T190" s="10">
        <v>61</v>
      </c>
      <c r="U190" s="10">
        <v>61</v>
      </c>
      <c r="V190" s="10">
        <v>61</v>
      </c>
      <c r="W190" s="10">
        <v>61</v>
      </c>
      <c r="X190" s="10">
        <v>61</v>
      </c>
      <c r="Y190" s="10">
        <f t="shared" si="2"/>
        <v>732</v>
      </c>
    </row>
    <row r="191" spans="1:25" s="9" customFormat="1" ht="11.25" customHeight="1">
      <c r="A191" s="9">
        <v>2014</v>
      </c>
      <c r="B191" s="9" t="s">
        <v>573</v>
      </c>
      <c r="C191" s="9" t="s">
        <v>7</v>
      </c>
      <c r="D191" s="9" t="s">
        <v>7</v>
      </c>
      <c r="E191" s="9" t="s">
        <v>12</v>
      </c>
      <c r="F191" s="9" t="s">
        <v>247</v>
      </c>
      <c r="G191" s="9" t="s">
        <v>439</v>
      </c>
      <c r="H191" s="9" t="s">
        <v>12</v>
      </c>
      <c r="I191" s="9" t="s">
        <v>12</v>
      </c>
      <c r="J191" s="9" t="s">
        <v>13</v>
      </c>
      <c r="K191" s="9" t="s">
        <v>248</v>
      </c>
      <c r="M191" s="10">
        <v>400</v>
      </c>
      <c r="N191" s="10">
        <v>400</v>
      </c>
      <c r="O191" s="10">
        <v>400</v>
      </c>
      <c r="P191" s="10">
        <v>400</v>
      </c>
      <c r="Q191" s="10">
        <v>400</v>
      </c>
      <c r="R191" s="10">
        <v>400</v>
      </c>
      <c r="S191" s="10">
        <v>400</v>
      </c>
      <c r="T191" s="10">
        <v>400</v>
      </c>
      <c r="U191" s="10">
        <v>400</v>
      </c>
      <c r="V191" s="10">
        <v>400</v>
      </c>
      <c r="W191" s="10">
        <v>400</v>
      </c>
      <c r="X191" s="10">
        <v>400</v>
      </c>
      <c r="Y191" s="10">
        <f t="shared" si="2"/>
        <v>4800</v>
      </c>
    </row>
    <row r="192" spans="1:25" s="9" customFormat="1" ht="11.25" customHeight="1">
      <c r="A192" s="9">
        <v>2014</v>
      </c>
      <c r="B192" s="9" t="s">
        <v>573</v>
      </c>
      <c r="C192" s="9" t="s">
        <v>32</v>
      </c>
      <c r="D192" s="9" t="s">
        <v>32</v>
      </c>
      <c r="E192" s="9" t="s">
        <v>148</v>
      </c>
      <c r="F192" s="9" t="s">
        <v>207</v>
      </c>
      <c r="G192" s="9" t="s">
        <v>439</v>
      </c>
      <c r="H192" s="9" t="s">
        <v>148</v>
      </c>
      <c r="I192" s="9" t="s">
        <v>148</v>
      </c>
      <c r="J192" s="9" t="s">
        <v>148</v>
      </c>
      <c r="M192" s="10">
        <v>11480</v>
      </c>
      <c r="N192" s="10">
        <v>11480</v>
      </c>
      <c r="O192" s="10">
        <v>11480</v>
      </c>
      <c r="P192" s="10">
        <v>11480</v>
      </c>
      <c r="Q192" s="10">
        <v>11480</v>
      </c>
      <c r="R192" s="10">
        <v>11480</v>
      </c>
      <c r="S192" s="10">
        <v>11480</v>
      </c>
      <c r="T192" s="10">
        <v>11480</v>
      </c>
      <c r="U192" s="10">
        <v>11480</v>
      </c>
      <c r="V192" s="10">
        <v>11480</v>
      </c>
      <c r="W192" s="10">
        <v>11480</v>
      </c>
      <c r="X192" s="10">
        <v>11480</v>
      </c>
      <c r="Y192" s="10">
        <f t="shared" si="2"/>
        <v>137760</v>
      </c>
    </row>
    <row r="193" spans="1:25" s="9" customFormat="1" ht="11.25" customHeight="1">
      <c r="A193" s="9">
        <v>2014</v>
      </c>
      <c r="B193" s="9" t="s">
        <v>573</v>
      </c>
      <c r="C193" s="9" t="s">
        <v>32</v>
      </c>
      <c r="D193" s="9" t="s">
        <v>32</v>
      </c>
      <c r="E193" s="9" t="s">
        <v>37</v>
      </c>
      <c r="F193" s="9" t="s">
        <v>207</v>
      </c>
      <c r="G193" s="9" t="s">
        <v>439</v>
      </c>
      <c r="H193" s="9" t="s">
        <v>37</v>
      </c>
      <c r="I193" s="9" t="s">
        <v>37</v>
      </c>
      <c r="J193" s="9" t="s">
        <v>37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>
        <f t="shared" si="2"/>
        <v>0</v>
      </c>
    </row>
    <row r="194" spans="1:25" s="9" customFormat="1" ht="11.25" customHeight="1">
      <c r="A194" s="9">
        <v>2014</v>
      </c>
      <c r="B194" s="9" t="s">
        <v>573</v>
      </c>
      <c r="C194" s="9" t="s">
        <v>32</v>
      </c>
      <c r="D194" s="9" t="s">
        <v>32</v>
      </c>
      <c r="E194" s="9" t="s">
        <v>27</v>
      </c>
      <c r="F194" s="9" t="s">
        <v>207</v>
      </c>
      <c r="G194" s="9" t="s">
        <v>439</v>
      </c>
      <c r="H194" s="9" t="s">
        <v>27</v>
      </c>
      <c r="I194" s="9" t="s">
        <v>27</v>
      </c>
      <c r="J194" s="9" t="s">
        <v>28</v>
      </c>
      <c r="M194" s="10">
        <v>50</v>
      </c>
      <c r="N194" s="10">
        <v>50</v>
      </c>
      <c r="O194" s="10">
        <v>50</v>
      </c>
      <c r="P194" s="10">
        <v>50</v>
      </c>
      <c r="Q194" s="10">
        <v>50</v>
      </c>
      <c r="R194" s="10">
        <v>50</v>
      </c>
      <c r="S194" s="10">
        <v>50</v>
      </c>
      <c r="T194" s="10">
        <v>50</v>
      </c>
      <c r="U194" s="10">
        <v>50</v>
      </c>
      <c r="V194" s="10">
        <v>50</v>
      </c>
      <c r="W194" s="10">
        <v>50</v>
      </c>
      <c r="X194" s="10">
        <v>50</v>
      </c>
      <c r="Y194" s="10">
        <f>SUM(M194:X194)</f>
        <v>600</v>
      </c>
    </row>
    <row r="195" spans="1:25" s="9" customFormat="1" ht="11.25" customHeight="1">
      <c r="A195" s="9">
        <v>2014</v>
      </c>
      <c r="B195" s="9" t="s">
        <v>573</v>
      </c>
      <c r="C195" s="9" t="s">
        <v>32</v>
      </c>
      <c r="D195" s="9" t="s">
        <v>32</v>
      </c>
      <c r="E195" s="9" t="s">
        <v>149</v>
      </c>
      <c r="F195" s="9" t="s">
        <v>207</v>
      </c>
      <c r="G195" s="9" t="s">
        <v>439</v>
      </c>
      <c r="H195" s="9" t="s">
        <v>149</v>
      </c>
      <c r="I195" s="9" t="s">
        <v>149</v>
      </c>
      <c r="J195" s="9" t="s">
        <v>150</v>
      </c>
      <c r="M195" s="10">
        <v>557.70000000000005</v>
      </c>
      <c r="N195" s="10">
        <v>557.70000000000005</v>
      </c>
      <c r="O195" s="10">
        <v>557.70000000000005</v>
      </c>
      <c r="P195" s="10">
        <v>557.70000000000005</v>
      </c>
      <c r="Q195" s="10">
        <v>557.70000000000005</v>
      </c>
      <c r="R195" s="10">
        <v>557.70000000000005</v>
      </c>
      <c r="S195" s="10">
        <v>557.70000000000005</v>
      </c>
      <c r="T195" s="10">
        <v>557.70000000000005</v>
      </c>
      <c r="U195" s="10">
        <v>557.70000000000005</v>
      </c>
      <c r="V195" s="10">
        <v>557.70000000000005</v>
      </c>
      <c r="W195" s="10">
        <v>557.70000000000005</v>
      </c>
      <c r="X195" s="10">
        <v>557.70000000000005</v>
      </c>
      <c r="Y195" s="10">
        <f>SUM(M195:X195)</f>
        <v>6692.3999999999987</v>
      </c>
    </row>
    <row r="196" spans="1:25" s="9" customFormat="1" ht="11.25" customHeight="1">
      <c r="A196" s="9">
        <v>2014</v>
      </c>
      <c r="B196" s="9" t="s">
        <v>573</v>
      </c>
      <c r="C196" s="9" t="s">
        <v>32</v>
      </c>
      <c r="D196" s="9" t="s">
        <v>32</v>
      </c>
      <c r="E196" s="9" t="s">
        <v>18</v>
      </c>
      <c r="F196" s="9" t="s">
        <v>207</v>
      </c>
      <c r="G196" s="9" t="s">
        <v>439</v>
      </c>
      <c r="H196" s="9" t="s">
        <v>18</v>
      </c>
      <c r="I196" s="9" t="s">
        <v>18</v>
      </c>
      <c r="J196" s="9" t="s">
        <v>34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>
        <f>SUM(M196:X196)</f>
        <v>0</v>
      </c>
    </row>
    <row r="197" spans="1:25" s="9" customFormat="1" ht="11.25" customHeight="1">
      <c r="A197" s="9">
        <v>2014</v>
      </c>
      <c r="B197" s="9" t="s">
        <v>573</v>
      </c>
      <c r="C197" s="9" t="s">
        <v>32</v>
      </c>
      <c r="D197" s="9" t="s">
        <v>32</v>
      </c>
      <c r="E197" s="9" t="s">
        <v>18</v>
      </c>
      <c r="F197" s="9" t="s">
        <v>207</v>
      </c>
      <c r="G197" s="9" t="s">
        <v>439</v>
      </c>
      <c r="H197" s="9" t="s">
        <v>18</v>
      </c>
      <c r="I197" s="9" t="s">
        <v>18</v>
      </c>
      <c r="J197" s="9" t="s">
        <v>43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>
        <f>SUM(M197:X197)</f>
        <v>0</v>
      </c>
    </row>
    <row r="198" spans="1:25" s="9" customFormat="1" ht="11.25" customHeight="1">
      <c r="A198" s="9">
        <v>2014</v>
      </c>
      <c r="B198" s="9" t="s">
        <v>573</v>
      </c>
      <c r="C198" s="9" t="s">
        <v>32</v>
      </c>
      <c r="D198" s="9" t="s">
        <v>32</v>
      </c>
      <c r="E198" s="9" t="s">
        <v>12</v>
      </c>
      <c r="F198" s="9" t="s">
        <v>207</v>
      </c>
      <c r="G198" s="9" t="s">
        <v>439</v>
      </c>
      <c r="H198" s="9" t="s">
        <v>12</v>
      </c>
      <c r="I198" s="9" t="s">
        <v>12</v>
      </c>
      <c r="J198" s="9" t="s">
        <v>13</v>
      </c>
      <c r="M198" s="10">
        <v>350</v>
      </c>
      <c r="N198" s="10">
        <v>350</v>
      </c>
      <c r="O198" s="10">
        <v>350</v>
      </c>
      <c r="P198" s="10">
        <v>350</v>
      </c>
      <c r="Q198" s="10">
        <v>350</v>
      </c>
      <c r="R198" s="10">
        <v>350</v>
      </c>
      <c r="S198" s="10">
        <v>350</v>
      </c>
      <c r="T198" s="10">
        <v>350</v>
      </c>
      <c r="U198" s="10">
        <v>350</v>
      </c>
      <c r="V198" s="10">
        <v>350</v>
      </c>
      <c r="W198" s="10">
        <v>350</v>
      </c>
      <c r="X198" s="10">
        <v>350</v>
      </c>
      <c r="Y198" s="10">
        <f>SUM(M198:X198)</f>
        <v>4200</v>
      </c>
    </row>
    <row r="199" spans="1:25" s="9" customFormat="1" ht="11.25" customHeight="1">
      <c r="A199" s="9">
        <v>2014</v>
      </c>
      <c r="B199" s="9" t="s">
        <v>573</v>
      </c>
      <c r="C199" s="9" t="s">
        <v>32</v>
      </c>
      <c r="D199" s="9" t="s">
        <v>32</v>
      </c>
      <c r="E199" s="9" t="s">
        <v>148</v>
      </c>
      <c r="F199" s="9" t="s">
        <v>208</v>
      </c>
      <c r="G199" s="9" t="s">
        <v>439</v>
      </c>
      <c r="H199" s="9" t="s">
        <v>148</v>
      </c>
      <c r="I199" s="9" t="s">
        <v>148</v>
      </c>
      <c r="J199" s="9" t="s">
        <v>148</v>
      </c>
      <c r="M199" s="10">
        <v>9916</v>
      </c>
      <c r="N199" s="10">
        <v>9916</v>
      </c>
      <c r="O199" s="10">
        <v>9916</v>
      </c>
      <c r="P199" s="10">
        <v>9916</v>
      </c>
      <c r="Q199" s="10">
        <v>9916</v>
      </c>
      <c r="R199" s="10">
        <v>9916</v>
      </c>
      <c r="S199" s="10">
        <v>9916</v>
      </c>
      <c r="T199" s="10">
        <v>9916</v>
      </c>
      <c r="U199" s="10">
        <v>9916</v>
      </c>
      <c r="V199" s="10">
        <v>9916</v>
      </c>
      <c r="W199" s="10">
        <v>9916</v>
      </c>
      <c r="X199" s="10">
        <v>9916</v>
      </c>
      <c r="Y199" s="10">
        <f t="shared" ref="Y199:Y207" si="3">SUM(M199:X199)</f>
        <v>118992</v>
      </c>
    </row>
    <row r="200" spans="1:25" s="9" customFormat="1" ht="11.25" customHeight="1">
      <c r="A200" s="9">
        <v>2014</v>
      </c>
      <c r="B200" s="9" t="s">
        <v>573</v>
      </c>
      <c r="C200" s="9" t="s">
        <v>32</v>
      </c>
      <c r="D200" s="9" t="s">
        <v>32</v>
      </c>
      <c r="E200" s="9" t="s">
        <v>37</v>
      </c>
      <c r="F200" s="9" t="s">
        <v>208</v>
      </c>
      <c r="G200" s="9" t="s">
        <v>439</v>
      </c>
      <c r="H200" s="9" t="s">
        <v>37</v>
      </c>
      <c r="I200" s="9" t="s">
        <v>37</v>
      </c>
      <c r="J200" s="9" t="s">
        <v>37</v>
      </c>
      <c r="K200" s="9" t="s">
        <v>212</v>
      </c>
      <c r="M200" s="10"/>
      <c r="N200" s="10"/>
      <c r="O200" s="10">
        <v>840</v>
      </c>
      <c r="P200" s="10"/>
      <c r="Q200" s="10">
        <v>1150</v>
      </c>
      <c r="R200" s="10">
        <v>550</v>
      </c>
      <c r="S200" s="10">
        <v>700</v>
      </c>
      <c r="T200" s="10">
        <v>1550</v>
      </c>
      <c r="U200" s="10">
        <v>1600</v>
      </c>
      <c r="V200" s="10">
        <v>2450</v>
      </c>
      <c r="W200" s="10"/>
      <c r="X200" s="10"/>
      <c r="Y200" s="10">
        <f t="shared" si="3"/>
        <v>8840</v>
      </c>
    </row>
    <row r="201" spans="1:25" s="9" customFormat="1" ht="11.25" customHeight="1">
      <c r="A201" s="9">
        <v>2014</v>
      </c>
      <c r="B201" s="9" t="s">
        <v>573</v>
      </c>
      <c r="C201" s="9" t="s">
        <v>32</v>
      </c>
      <c r="D201" s="9" t="s">
        <v>32</v>
      </c>
      <c r="E201" s="9" t="s">
        <v>37</v>
      </c>
      <c r="F201" s="9" t="s">
        <v>208</v>
      </c>
      <c r="G201" s="9" t="s">
        <v>439</v>
      </c>
      <c r="H201" s="9" t="s">
        <v>37</v>
      </c>
      <c r="I201" s="9" t="s">
        <v>37</v>
      </c>
      <c r="J201" s="9" t="s">
        <v>37</v>
      </c>
      <c r="K201" s="9" t="s">
        <v>209</v>
      </c>
      <c r="M201" s="10">
        <v>650</v>
      </c>
      <c r="N201" s="10">
        <v>650</v>
      </c>
      <c r="O201" s="10">
        <v>1200</v>
      </c>
      <c r="P201" s="10">
        <v>2050</v>
      </c>
      <c r="Q201" s="10">
        <v>950</v>
      </c>
      <c r="R201" s="10">
        <v>650</v>
      </c>
      <c r="S201" s="10">
        <v>650</v>
      </c>
      <c r="T201" s="10">
        <v>950</v>
      </c>
      <c r="U201" s="10">
        <v>1050</v>
      </c>
      <c r="V201" s="10">
        <v>650</v>
      </c>
      <c r="W201" s="10">
        <v>650</v>
      </c>
      <c r="X201" s="10">
        <v>650</v>
      </c>
      <c r="Y201" s="10">
        <f t="shared" si="3"/>
        <v>10750</v>
      </c>
    </row>
    <row r="202" spans="1:25" s="9" customFormat="1" ht="11.25" customHeight="1">
      <c r="A202" s="9">
        <v>2014</v>
      </c>
      <c r="B202" s="9" t="s">
        <v>573</v>
      </c>
      <c r="C202" s="9" t="s">
        <v>32</v>
      </c>
      <c r="D202" s="9" t="s">
        <v>32</v>
      </c>
      <c r="E202" s="9" t="s">
        <v>27</v>
      </c>
      <c r="F202" s="9" t="s">
        <v>208</v>
      </c>
      <c r="G202" s="9" t="s">
        <v>439</v>
      </c>
      <c r="H202" s="9" t="s">
        <v>27</v>
      </c>
      <c r="I202" s="9" t="s">
        <v>27</v>
      </c>
      <c r="J202" s="9" t="s">
        <v>28</v>
      </c>
      <c r="K202" s="9" t="s">
        <v>209</v>
      </c>
      <c r="M202" s="10">
        <v>50</v>
      </c>
      <c r="N202" s="10">
        <v>50</v>
      </c>
      <c r="O202" s="10">
        <v>50</v>
      </c>
      <c r="P202" s="10">
        <v>50</v>
      </c>
      <c r="Q202" s="10">
        <v>50</v>
      </c>
      <c r="R202" s="10">
        <v>50</v>
      </c>
      <c r="S202" s="10">
        <v>50</v>
      </c>
      <c r="T202" s="10">
        <v>50</v>
      </c>
      <c r="U202" s="10">
        <v>50</v>
      </c>
      <c r="V202" s="10">
        <v>50</v>
      </c>
      <c r="W202" s="10">
        <v>50</v>
      </c>
      <c r="X202" s="10">
        <v>50</v>
      </c>
      <c r="Y202" s="10">
        <f t="shared" si="3"/>
        <v>600</v>
      </c>
    </row>
    <row r="203" spans="1:25" s="9" customFormat="1" ht="11.25" customHeight="1">
      <c r="A203" s="9">
        <v>2014</v>
      </c>
      <c r="B203" s="9" t="s">
        <v>573</v>
      </c>
      <c r="C203" s="9" t="s">
        <v>32</v>
      </c>
      <c r="D203" s="9" t="s">
        <v>32</v>
      </c>
      <c r="E203" s="9" t="s">
        <v>149</v>
      </c>
      <c r="F203" s="9" t="s">
        <v>208</v>
      </c>
      <c r="G203" s="9" t="s">
        <v>439</v>
      </c>
      <c r="H203" s="9" t="s">
        <v>149</v>
      </c>
      <c r="I203" s="9" t="s">
        <v>149</v>
      </c>
      <c r="J203" s="9" t="s">
        <v>150</v>
      </c>
      <c r="M203" s="10">
        <v>632.05999999999995</v>
      </c>
      <c r="N203" s="10">
        <v>632.05999999999995</v>
      </c>
      <c r="O203" s="10">
        <v>632.05999999999995</v>
      </c>
      <c r="P203" s="10">
        <v>632.05999999999995</v>
      </c>
      <c r="Q203" s="10">
        <v>632.05999999999995</v>
      </c>
      <c r="R203" s="10">
        <v>632.05999999999995</v>
      </c>
      <c r="S203" s="10">
        <v>632.05999999999995</v>
      </c>
      <c r="T203" s="10">
        <v>632.05999999999995</v>
      </c>
      <c r="U203" s="10">
        <v>632.05999999999995</v>
      </c>
      <c r="V203" s="10">
        <v>632.05999999999995</v>
      </c>
      <c r="W203" s="10">
        <v>632.05999999999995</v>
      </c>
      <c r="X203" s="10">
        <v>632.05999999999995</v>
      </c>
      <c r="Y203" s="10">
        <f t="shared" si="3"/>
        <v>7584.7199999999975</v>
      </c>
    </row>
    <row r="204" spans="1:25" s="9" customFormat="1" ht="11.25" customHeight="1">
      <c r="A204" s="9">
        <v>2014</v>
      </c>
      <c r="B204" s="9" t="s">
        <v>573</v>
      </c>
      <c r="C204" s="9" t="s">
        <v>32</v>
      </c>
      <c r="D204" s="9" t="s">
        <v>32</v>
      </c>
      <c r="E204" s="9" t="s">
        <v>89</v>
      </c>
      <c r="F204" s="9" t="s">
        <v>208</v>
      </c>
      <c r="G204" s="9" t="s">
        <v>245</v>
      </c>
      <c r="H204" s="9" t="s">
        <v>89</v>
      </c>
      <c r="I204" s="9" t="s">
        <v>90</v>
      </c>
      <c r="J204" s="9" t="s">
        <v>90</v>
      </c>
      <c r="M204" s="10"/>
      <c r="N204" s="10"/>
      <c r="O204" s="10">
        <v>15920</v>
      </c>
      <c r="P204" s="10">
        <v>5920</v>
      </c>
      <c r="Q204" s="10">
        <v>5200</v>
      </c>
      <c r="R204" s="10">
        <v>13100</v>
      </c>
      <c r="S204" s="10">
        <v>11520</v>
      </c>
      <c r="T204" s="10">
        <v>7680</v>
      </c>
      <c r="U204" s="10">
        <v>4250</v>
      </c>
      <c r="V204" s="10"/>
      <c r="W204" s="10"/>
      <c r="X204" s="10"/>
      <c r="Y204" s="10">
        <f t="shared" si="3"/>
        <v>63590</v>
      </c>
    </row>
    <row r="205" spans="1:25" s="9" customFormat="1" ht="11.25" customHeight="1">
      <c r="A205" s="9">
        <v>2014</v>
      </c>
      <c r="B205" s="9" t="s">
        <v>573</v>
      </c>
      <c r="C205" s="9" t="s">
        <v>32</v>
      </c>
      <c r="D205" s="9" t="s">
        <v>32</v>
      </c>
      <c r="E205" s="9" t="s">
        <v>89</v>
      </c>
      <c r="F205" s="9" t="s">
        <v>208</v>
      </c>
      <c r="G205" s="9" t="s">
        <v>245</v>
      </c>
      <c r="H205" s="9" t="s">
        <v>89</v>
      </c>
      <c r="I205" s="9" t="s">
        <v>210</v>
      </c>
      <c r="J205" s="9" t="s">
        <v>211</v>
      </c>
      <c r="M205" s="10">
        <v>18087</v>
      </c>
      <c r="N205" s="10">
        <v>27530</v>
      </c>
      <c r="O205" s="10">
        <v>156019</v>
      </c>
      <c r="P205" s="10">
        <v>127959</v>
      </c>
      <c r="Q205" s="10">
        <v>93932</v>
      </c>
      <c r="R205" s="10">
        <v>51001</v>
      </c>
      <c r="S205" s="10">
        <v>36158</v>
      </c>
      <c r="T205" s="10">
        <v>27265</v>
      </c>
      <c r="U205" s="10">
        <v>29441</v>
      </c>
      <c r="V205" s="10">
        <v>41498</v>
      </c>
      <c r="W205" s="10">
        <v>36936</v>
      </c>
      <c r="X205" s="10">
        <v>27185</v>
      </c>
      <c r="Y205" s="10">
        <f t="shared" si="3"/>
        <v>673011</v>
      </c>
    </row>
    <row r="206" spans="1:25" s="9" customFormat="1" ht="11.25" customHeight="1">
      <c r="A206" s="9">
        <v>2014</v>
      </c>
      <c r="B206" s="9" t="s">
        <v>573</v>
      </c>
      <c r="C206" s="9" t="s">
        <v>32</v>
      </c>
      <c r="D206" s="9" t="s">
        <v>32</v>
      </c>
      <c r="E206" s="9" t="s">
        <v>12</v>
      </c>
      <c r="F206" s="9" t="s">
        <v>208</v>
      </c>
      <c r="G206" s="9" t="s">
        <v>439</v>
      </c>
      <c r="H206" s="9" t="s">
        <v>12</v>
      </c>
      <c r="I206" s="9" t="s">
        <v>12</v>
      </c>
      <c r="J206" s="9" t="s">
        <v>13</v>
      </c>
      <c r="K206" s="9" t="s">
        <v>209</v>
      </c>
      <c r="M206" s="10">
        <v>380</v>
      </c>
      <c r="N206" s="10">
        <v>380</v>
      </c>
      <c r="O206" s="10">
        <v>380</v>
      </c>
      <c r="P206" s="10">
        <v>380</v>
      </c>
      <c r="Q206" s="10">
        <v>380</v>
      </c>
      <c r="R206" s="10">
        <v>380</v>
      </c>
      <c r="S206" s="10">
        <v>380</v>
      </c>
      <c r="T206" s="10">
        <v>380</v>
      </c>
      <c r="U206" s="10">
        <v>380</v>
      </c>
      <c r="V206" s="10">
        <v>380</v>
      </c>
      <c r="W206" s="10">
        <v>380</v>
      </c>
      <c r="X206" s="10">
        <v>380</v>
      </c>
      <c r="Y206" s="10">
        <f t="shared" si="3"/>
        <v>4560</v>
      </c>
    </row>
    <row r="207" spans="1:25" s="9" customFormat="1" ht="11.25" customHeight="1">
      <c r="A207" s="9">
        <v>2014</v>
      </c>
      <c r="B207" s="9" t="s">
        <v>293</v>
      </c>
      <c r="C207" s="9" t="s">
        <v>293</v>
      </c>
      <c r="D207" s="9" t="s">
        <v>293</v>
      </c>
      <c r="E207" s="9" t="s">
        <v>293</v>
      </c>
      <c r="F207" s="9" t="s">
        <v>227</v>
      </c>
      <c r="G207" s="9" t="s">
        <v>439</v>
      </c>
      <c r="H207" s="9" t="s">
        <v>293</v>
      </c>
      <c r="I207" s="9" t="s">
        <v>293</v>
      </c>
      <c r="J207" s="9" t="s">
        <v>293</v>
      </c>
      <c r="M207" s="10" t="e">
        <f>#REF!</f>
        <v>#REF!</v>
      </c>
      <c r="N207" s="10" t="e">
        <f>#REF!</f>
        <v>#REF!</v>
      </c>
      <c r="O207" s="10" t="e">
        <f>#REF!</f>
        <v>#REF!</v>
      </c>
      <c r="P207" s="10" t="e">
        <f>#REF!</f>
        <v>#REF!</v>
      </c>
      <c r="Q207" s="10" t="e">
        <f>#REF!</f>
        <v>#REF!</v>
      </c>
      <c r="R207" s="10" t="e">
        <f>#REF!</f>
        <v>#REF!</v>
      </c>
      <c r="S207" s="10" t="e">
        <f>#REF!</f>
        <v>#REF!</v>
      </c>
      <c r="T207" s="10" t="e">
        <f>#REF!</f>
        <v>#REF!</v>
      </c>
      <c r="U207" s="10" t="e">
        <f>#REF!</f>
        <v>#REF!</v>
      </c>
      <c r="V207" s="10" t="e">
        <f>#REF!</f>
        <v>#REF!</v>
      </c>
      <c r="W207" s="10" t="e">
        <f>#REF!</f>
        <v>#REF!</v>
      </c>
      <c r="X207" s="10" t="e">
        <f>#REF!</f>
        <v>#REF!</v>
      </c>
      <c r="Y207" s="10" t="e">
        <f t="shared" si="3"/>
        <v>#REF!</v>
      </c>
    </row>
    <row r="208" spans="1:25" s="9" customFormat="1" ht="11.25" customHeight="1">
      <c r="A208" s="9">
        <v>2014</v>
      </c>
      <c r="B208" s="9" t="s">
        <v>574</v>
      </c>
      <c r="C208" s="9" t="s">
        <v>292</v>
      </c>
      <c r="D208" s="9" t="s">
        <v>292</v>
      </c>
      <c r="E208" s="9" t="s">
        <v>292</v>
      </c>
      <c r="F208" s="9" t="s">
        <v>227</v>
      </c>
      <c r="G208" s="9" t="s">
        <v>439</v>
      </c>
      <c r="H208" s="9" t="s">
        <v>292</v>
      </c>
      <c r="I208" s="9" t="s">
        <v>292</v>
      </c>
      <c r="J208" s="9" t="s">
        <v>292</v>
      </c>
      <c r="M208" s="10" t="e">
        <f>#REF!</f>
        <v>#REF!</v>
      </c>
      <c r="N208" s="10" t="e">
        <f>#REF!</f>
        <v>#REF!</v>
      </c>
      <c r="O208" s="10" t="e">
        <f>#REF!</f>
        <v>#REF!</v>
      </c>
      <c r="P208" s="10" t="e">
        <f>#REF!</f>
        <v>#REF!</v>
      </c>
      <c r="Q208" s="10" t="e">
        <f>#REF!</f>
        <v>#REF!</v>
      </c>
      <c r="R208" s="10" t="e">
        <f>#REF!</f>
        <v>#REF!</v>
      </c>
      <c r="S208" s="10" t="e">
        <f>#REF!</f>
        <v>#REF!</v>
      </c>
      <c r="T208" s="10" t="e">
        <f>#REF!</f>
        <v>#REF!</v>
      </c>
      <c r="U208" s="10" t="e">
        <f>#REF!</f>
        <v>#REF!</v>
      </c>
      <c r="V208" s="10" t="e">
        <f>#REF!</f>
        <v>#REF!</v>
      </c>
      <c r="W208" s="10" t="e">
        <f>#REF!</f>
        <v>#REF!</v>
      </c>
      <c r="X208" s="10" t="e">
        <f>#REF!</f>
        <v>#REF!</v>
      </c>
      <c r="Y208" s="10" t="e">
        <f>SUM(M208:X208)</f>
        <v>#REF!</v>
      </c>
    </row>
    <row r="209" spans="1:25" s="261" customFormat="1" ht="11.25" customHeight="1">
      <c r="A209" s="9">
        <v>2014</v>
      </c>
      <c r="B209" s="9" t="s">
        <v>574</v>
      </c>
      <c r="C209" s="261" t="s">
        <v>575</v>
      </c>
      <c r="D209" s="261" t="s">
        <v>575</v>
      </c>
      <c r="E209" s="261" t="s">
        <v>575</v>
      </c>
      <c r="F209" s="261" t="s">
        <v>575</v>
      </c>
      <c r="G209" s="261" t="s">
        <v>245</v>
      </c>
      <c r="H209" s="261" t="s">
        <v>575</v>
      </c>
      <c r="I209" s="261" t="s">
        <v>575</v>
      </c>
      <c r="J209" s="261" t="s">
        <v>575</v>
      </c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>
        <f>Y912-Y910</f>
        <v>48920226.591538996</v>
      </c>
    </row>
    <row r="210" spans="1:25" s="261" customFormat="1" ht="11.25" customHeight="1">
      <c r="A210" s="261">
        <v>2014</v>
      </c>
      <c r="B210" s="261" t="s">
        <v>573</v>
      </c>
      <c r="C210" s="261" t="s">
        <v>92</v>
      </c>
      <c r="D210" s="261" t="s">
        <v>92</v>
      </c>
      <c r="E210" s="261" t="s">
        <v>25</v>
      </c>
      <c r="F210" s="261" t="s">
        <v>130</v>
      </c>
      <c r="G210" s="261" t="s">
        <v>439</v>
      </c>
      <c r="H210" s="261" t="s">
        <v>25</v>
      </c>
      <c r="I210" s="261" t="s">
        <v>25</v>
      </c>
      <c r="J210" s="261" t="s">
        <v>36</v>
      </c>
      <c r="M210" s="262"/>
      <c r="N210" s="262"/>
      <c r="O210" s="262">
        <v>5000</v>
      </c>
      <c r="P210" s="262">
        <v>5000</v>
      </c>
      <c r="Q210" s="262">
        <v>5000</v>
      </c>
      <c r="R210" s="262">
        <v>5000</v>
      </c>
      <c r="S210" s="262">
        <v>5000</v>
      </c>
      <c r="T210" s="262">
        <v>5000</v>
      </c>
      <c r="U210" s="262">
        <v>5000</v>
      </c>
      <c r="V210" s="262">
        <v>5000</v>
      </c>
      <c r="W210" s="262">
        <v>5000</v>
      </c>
      <c r="X210" s="262">
        <v>5000</v>
      </c>
      <c r="Y210" s="262">
        <f>SUM(M210:X210)</f>
        <v>50000</v>
      </c>
    </row>
    <row r="211" spans="1:25" s="261" customFormat="1" ht="11.25" customHeight="1">
      <c r="A211" s="261">
        <v>2014</v>
      </c>
      <c r="B211" s="261" t="s">
        <v>573</v>
      </c>
      <c r="C211" s="261" t="s">
        <v>92</v>
      </c>
      <c r="D211" s="261" t="s">
        <v>92</v>
      </c>
      <c r="E211" s="261" t="s">
        <v>25</v>
      </c>
      <c r="F211" s="261" t="s">
        <v>157</v>
      </c>
      <c r="G211" s="261" t="s">
        <v>439</v>
      </c>
      <c r="H211" s="261" t="s">
        <v>25</v>
      </c>
      <c r="I211" s="261" t="s">
        <v>25</v>
      </c>
      <c r="J211" s="261" t="s">
        <v>131</v>
      </c>
      <c r="M211" s="262"/>
      <c r="N211" s="262"/>
      <c r="O211" s="262">
        <v>595302.19105137256</v>
      </c>
      <c r="P211" s="262">
        <v>932895.47775393527</v>
      </c>
      <c r="Q211" s="262">
        <v>1353333.5480383798</v>
      </c>
      <c r="R211" s="262">
        <v>1238177.254779936</v>
      </c>
      <c r="S211" s="262">
        <v>1044544.7304881085</v>
      </c>
      <c r="T211" s="262">
        <v>616987.05714668252</v>
      </c>
      <c r="U211" s="262">
        <v>211347.24268718724</v>
      </c>
      <c r="V211" s="262">
        <v>191835.3005910464</v>
      </c>
      <c r="W211" s="262">
        <v>196533.06251817083</v>
      </c>
      <c r="X211" s="262">
        <v>190838.43023231201</v>
      </c>
      <c r="Y211" s="262">
        <f t="shared" ref="Y211:Y274" si="4">SUM(M211:X211)</f>
        <v>6571794.2952871304</v>
      </c>
    </row>
    <row r="212" spans="1:25" s="261" customFormat="1" ht="11.25" customHeight="1">
      <c r="A212" s="261">
        <v>2014</v>
      </c>
      <c r="B212" s="261" t="s">
        <v>573</v>
      </c>
      <c r="C212" s="261" t="s">
        <v>92</v>
      </c>
      <c r="D212" s="261" t="s">
        <v>92</v>
      </c>
      <c r="E212" s="261" t="s">
        <v>148</v>
      </c>
      <c r="F212" s="261" t="s">
        <v>157</v>
      </c>
      <c r="G212" s="261" t="s">
        <v>439</v>
      </c>
      <c r="H212" s="261" t="s">
        <v>148</v>
      </c>
      <c r="I212" s="261" t="s">
        <v>148</v>
      </c>
      <c r="J212" s="261" t="s">
        <v>148</v>
      </c>
      <c r="M212" s="262"/>
      <c r="N212" s="262"/>
      <c r="O212" s="262">
        <v>42154</v>
      </c>
      <c r="P212" s="262">
        <v>42154</v>
      </c>
      <c r="Q212" s="262">
        <v>42154</v>
      </c>
      <c r="R212" s="262">
        <v>42154</v>
      </c>
      <c r="S212" s="262">
        <v>42154</v>
      </c>
      <c r="T212" s="262">
        <v>42154</v>
      </c>
      <c r="U212" s="262">
        <v>42154</v>
      </c>
      <c r="V212" s="262">
        <v>42154</v>
      </c>
      <c r="W212" s="262">
        <v>42154</v>
      </c>
      <c r="X212" s="262">
        <v>42154</v>
      </c>
      <c r="Y212" s="262">
        <f t="shared" si="4"/>
        <v>421540</v>
      </c>
    </row>
    <row r="213" spans="1:25" s="261" customFormat="1" ht="11.25" customHeight="1">
      <c r="A213" s="261">
        <v>2014</v>
      </c>
      <c r="B213" s="261" t="s">
        <v>573</v>
      </c>
      <c r="C213" s="261" t="s">
        <v>92</v>
      </c>
      <c r="D213" s="261" t="s">
        <v>92</v>
      </c>
      <c r="E213" s="261" t="s">
        <v>37</v>
      </c>
      <c r="F213" s="261" t="s">
        <v>157</v>
      </c>
      <c r="G213" s="261" t="s">
        <v>439</v>
      </c>
      <c r="H213" s="261" t="s">
        <v>37</v>
      </c>
      <c r="I213" s="261" t="s">
        <v>37</v>
      </c>
      <c r="J213" s="261" t="s">
        <v>37</v>
      </c>
      <c r="M213" s="262"/>
      <c r="N213" s="262"/>
      <c r="O213" s="262">
        <v>1500</v>
      </c>
      <c r="P213" s="262">
        <v>1500</v>
      </c>
      <c r="Q213" s="262">
        <v>1500</v>
      </c>
      <c r="R213" s="262">
        <v>1500</v>
      </c>
      <c r="S213" s="262">
        <v>1500</v>
      </c>
      <c r="T213" s="262">
        <v>1500</v>
      </c>
      <c r="U213" s="262">
        <v>1500</v>
      </c>
      <c r="V213" s="262">
        <v>1500</v>
      </c>
      <c r="W213" s="262">
        <v>1500</v>
      </c>
      <c r="X213" s="262">
        <v>1500</v>
      </c>
      <c r="Y213" s="262">
        <f t="shared" si="4"/>
        <v>15000</v>
      </c>
    </row>
    <row r="214" spans="1:25" s="261" customFormat="1" ht="11.25" customHeight="1">
      <c r="A214" s="261">
        <v>2014</v>
      </c>
      <c r="B214" s="261" t="s">
        <v>573</v>
      </c>
      <c r="C214" s="261" t="s">
        <v>92</v>
      </c>
      <c r="D214" s="261" t="s">
        <v>92</v>
      </c>
      <c r="E214" s="261" t="s">
        <v>27</v>
      </c>
      <c r="F214" s="261" t="s">
        <v>157</v>
      </c>
      <c r="G214" s="261" t="s">
        <v>439</v>
      </c>
      <c r="H214" s="261" t="s">
        <v>27</v>
      </c>
      <c r="I214" s="261" t="s">
        <v>27</v>
      </c>
      <c r="J214" s="261" t="s">
        <v>28</v>
      </c>
      <c r="M214" s="262"/>
      <c r="N214" s="262"/>
      <c r="O214" s="262">
        <v>400</v>
      </c>
      <c r="P214" s="262">
        <v>800</v>
      </c>
      <c r="Q214" s="262">
        <v>1000</v>
      </c>
      <c r="R214" s="262">
        <v>1000</v>
      </c>
      <c r="S214" s="262">
        <v>1000</v>
      </c>
      <c r="T214" s="262">
        <v>400</v>
      </c>
      <c r="U214" s="262">
        <v>400</v>
      </c>
      <c r="V214" s="262">
        <v>400</v>
      </c>
      <c r="W214" s="262">
        <v>400</v>
      </c>
      <c r="X214" s="262">
        <v>400</v>
      </c>
      <c r="Y214" s="262">
        <f t="shared" si="4"/>
        <v>6200</v>
      </c>
    </row>
    <row r="215" spans="1:25" s="261" customFormat="1" ht="11.25" customHeight="1">
      <c r="A215" s="261">
        <v>2014</v>
      </c>
      <c r="B215" s="261" t="s">
        <v>574</v>
      </c>
      <c r="C215" s="261" t="s">
        <v>92</v>
      </c>
      <c r="D215" s="261" t="s">
        <v>92</v>
      </c>
      <c r="E215" s="261" t="s">
        <v>22</v>
      </c>
      <c r="F215" s="261" t="s">
        <v>157</v>
      </c>
      <c r="G215" s="261" t="s">
        <v>439</v>
      </c>
      <c r="H215" s="261" t="s">
        <v>22</v>
      </c>
      <c r="I215" s="261" t="s">
        <v>145</v>
      </c>
      <c r="J215" s="261" t="s">
        <v>146</v>
      </c>
      <c r="M215" s="262"/>
      <c r="N215" s="262"/>
      <c r="O215" s="262">
        <v>646548.26256994857</v>
      </c>
      <c r="P215" s="262">
        <v>829174.52040176291</v>
      </c>
      <c r="Q215" s="262">
        <v>1408309.779477319</v>
      </c>
      <c r="R215" s="262">
        <v>1606264.3419050809</v>
      </c>
      <c r="S215" s="262">
        <v>1316067.3562339195</v>
      </c>
      <c r="T215" s="262">
        <v>1025400.6404069414</v>
      </c>
      <c r="U215" s="262">
        <v>607525.27302269044</v>
      </c>
      <c r="V215" s="262">
        <v>570282.45246844832</v>
      </c>
      <c r="W215" s="262">
        <v>570149.8295519253</v>
      </c>
      <c r="X215" s="262">
        <v>597713.29808055284</v>
      </c>
      <c r="Y215" s="262">
        <f t="shared" si="4"/>
        <v>9177435.7541185897</v>
      </c>
    </row>
    <row r="216" spans="1:25" s="261" customFormat="1" ht="11.25" customHeight="1">
      <c r="A216" s="261">
        <v>2014</v>
      </c>
      <c r="B216" s="261" t="s">
        <v>573</v>
      </c>
      <c r="C216" s="261" t="s">
        <v>92</v>
      </c>
      <c r="D216" s="261" t="s">
        <v>92</v>
      </c>
      <c r="E216" s="261" t="s">
        <v>149</v>
      </c>
      <c r="F216" s="261" t="s">
        <v>157</v>
      </c>
      <c r="G216" s="261" t="s">
        <v>439</v>
      </c>
      <c r="H216" s="261" t="s">
        <v>149</v>
      </c>
      <c r="I216" s="261" t="s">
        <v>149</v>
      </c>
      <c r="J216" s="261" t="s">
        <v>150</v>
      </c>
      <c r="M216" s="262"/>
      <c r="N216" s="262"/>
      <c r="O216" s="262">
        <v>5728.69</v>
      </c>
      <c r="P216" s="262">
        <v>6240.66</v>
      </c>
      <c r="Q216" s="262">
        <v>6240.66</v>
      </c>
      <c r="R216" s="262">
        <v>6240.66</v>
      </c>
      <c r="S216" s="262">
        <v>6240.66</v>
      </c>
      <c r="T216" s="262">
        <v>6240.66</v>
      </c>
      <c r="U216" s="262">
        <v>5216.7299999999996</v>
      </c>
      <c r="V216" s="262">
        <v>5216.7299999999996</v>
      </c>
      <c r="W216" s="262">
        <v>5216.7299999999996</v>
      </c>
      <c r="X216" s="262">
        <v>5216.7299999999996</v>
      </c>
      <c r="Y216" s="262">
        <f t="shared" si="4"/>
        <v>57798.909999999989</v>
      </c>
    </row>
    <row r="217" spans="1:25" s="261" customFormat="1" ht="11.25" customHeight="1">
      <c r="A217" s="261">
        <v>2014</v>
      </c>
      <c r="B217" s="261" t="s">
        <v>573</v>
      </c>
      <c r="C217" s="261" t="s">
        <v>92</v>
      </c>
      <c r="D217" s="261" t="s">
        <v>92</v>
      </c>
      <c r="E217" s="261" t="s">
        <v>141</v>
      </c>
      <c r="F217" s="261" t="s">
        <v>157</v>
      </c>
      <c r="G217" s="261" t="s">
        <v>439</v>
      </c>
      <c r="H217" s="261" t="s">
        <v>141</v>
      </c>
      <c r="I217" s="261" t="s">
        <v>141</v>
      </c>
      <c r="J217" s="261" t="s">
        <v>141</v>
      </c>
      <c r="M217" s="262"/>
      <c r="N217" s="262"/>
      <c r="O217" s="262">
        <v>15000</v>
      </c>
      <c r="P217" s="262">
        <v>15000</v>
      </c>
      <c r="Q217" s="262">
        <v>15000</v>
      </c>
      <c r="R217" s="262">
        <v>15000</v>
      </c>
      <c r="S217" s="262">
        <v>15000</v>
      </c>
      <c r="T217" s="262">
        <v>15000</v>
      </c>
      <c r="U217" s="262">
        <v>15000</v>
      </c>
      <c r="V217" s="262">
        <v>15000</v>
      </c>
      <c r="W217" s="262">
        <v>15000</v>
      </c>
      <c r="X217" s="262">
        <v>15000</v>
      </c>
      <c r="Y217" s="262">
        <f t="shared" si="4"/>
        <v>150000</v>
      </c>
    </row>
    <row r="218" spans="1:25" s="261" customFormat="1" ht="11.25" customHeight="1">
      <c r="A218" s="261">
        <v>2014</v>
      </c>
      <c r="B218" s="261" t="s">
        <v>573</v>
      </c>
      <c r="C218" s="261" t="s">
        <v>92</v>
      </c>
      <c r="D218" s="261" t="s">
        <v>92</v>
      </c>
      <c r="E218" s="261" t="s">
        <v>29</v>
      </c>
      <c r="F218" s="261" t="s">
        <v>157</v>
      </c>
      <c r="G218" s="261" t="s">
        <v>439</v>
      </c>
      <c r="H218" s="261" t="s">
        <v>29</v>
      </c>
      <c r="I218" s="261" t="s">
        <v>29</v>
      </c>
      <c r="J218" s="261" t="s">
        <v>31</v>
      </c>
      <c r="M218" s="262"/>
      <c r="N218" s="262"/>
      <c r="O218" s="262">
        <v>7000</v>
      </c>
      <c r="P218" s="262">
        <v>7000</v>
      </c>
      <c r="Q218" s="262">
        <v>7000</v>
      </c>
      <c r="R218" s="262">
        <v>7000</v>
      </c>
      <c r="S218" s="262">
        <v>7000</v>
      </c>
      <c r="T218" s="262">
        <v>7000</v>
      </c>
      <c r="U218" s="262">
        <v>7000</v>
      </c>
      <c r="V218" s="262">
        <v>7000</v>
      </c>
      <c r="W218" s="262">
        <v>7000</v>
      </c>
      <c r="X218" s="262">
        <v>7000</v>
      </c>
      <c r="Y218" s="262">
        <f t="shared" si="4"/>
        <v>70000</v>
      </c>
    </row>
    <row r="219" spans="1:25" s="261" customFormat="1" ht="11.25" customHeight="1">
      <c r="A219" s="261">
        <v>2014</v>
      </c>
      <c r="B219" s="261" t="s">
        <v>573</v>
      </c>
      <c r="C219" s="261" t="s">
        <v>92</v>
      </c>
      <c r="D219" s="261" t="s">
        <v>92</v>
      </c>
      <c r="E219" s="261" t="s">
        <v>12</v>
      </c>
      <c r="F219" s="261" t="s">
        <v>157</v>
      </c>
      <c r="G219" s="261" t="s">
        <v>439</v>
      </c>
      <c r="H219" s="261" t="s">
        <v>12</v>
      </c>
      <c r="I219" s="261" t="s">
        <v>12</v>
      </c>
      <c r="J219" s="261" t="s">
        <v>13</v>
      </c>
      <c r="K219" s="261" t="s">
        <v>160</v>
      </c>
      <c r="M219" s="262"/>
      <c r="N219" s="262"/>
      <c r="O219" s="262">
        <v>165</v>
      </c>
      <c r="P219" s="262">
        <v>165</v>
      </c>
      <c r="Q219" s="262">
        <v>165</v>
      </c>
      <c r="R219" s="262">
        <v>165</v>
      </c>
      <c r="S219" s="262">
        <v>165</v>
      </c>
      <c r="T219" s="262">
        <v>165</v>
      </c>
      <c r="U219" s="262">
        <v>165</v>
      </c>
      <c r="V219" s="262">
        <v>165</v>
      </c>
      <c r="W219" s="262">
        <v>165</v>
      </c>
      <c r="X219" s="262">
        <v>165</v>
      </c>
      <c r="Y219" s="262">
        <f t="shared" si="4"/>
        <v>1650</v>
      </c>
    </row>
    <row r="220" spans="1:25" s="261" customFormat="1" ht="11.25" customHeight="1">
      <c r="A220" s="261">
        <v>2014</v>
      </c>
      <c r="B220" s="261" t="s">
        <v>573</v>
      </c>
      <c r="C220" s="261" t="s">
        <v>92</v>
      </c>
      <c r="D220" s="261" t="s">
        <v>92</v>
      </c>
      <c r="E220" s="261" t="s">
        <v>12</v>
      </c>
      <c r="F220" s="261" t="s">
        <v>157</v>
      </c>
      <c r="G220" s="261" t="s">
        <v>439</v>
      </c>
      <c r="H220" s="261" t="s">
        <v>12</v>
      </c>
      <c r="I220" s="261" t="s">
        <v>12</v>
      </c>
      <c r="J220" s="261" t="s">
        <v>13</v>
      </c>
      <c r="K220" s="261" t="s">
        <v>161</v>
      </c>
      <c r="M220" s="262"/>
      <c r="N220" s="262"/>
      <c r="O220" s="262">
        <v>165</v>
      </c>
      <c r="P220" s="262">
        <v>165</v>
      </c>
      <c r="Q220" s="262">
        <v>165</v>
      </c>
      <c r="R220" s="262">
        <v>165</v>
      </c>
      <c r="S220" s="262">
        <v>165</v>
      </c>
      <c r="T220" s="262">
        <v>165</v>
      </c>
      <c r="U220" s="262">
        <v>165</v>
      </c>
      <c r="V220" s="262">
        <v>165</v>
      </c>
      <c r="W220" s="262">
        <v>165</v>
      </c>
      <c r="X220" s="262">
        <v>165</v>
      </c>
      <c r="Y220" s="262">
        <f t="shared" si="4"/>
        <v>1650</v>
      </c>
    </row>
    <row r="221" spans="1:25" s="261" customFormat="1" ht="11.25" customHeight="1">
      <c r="A221" s="261">
        <v>2014</v>
      </c>
      <c r="B221" s="261" t="s">
        <v>573</v>
      </c>
      <c r="C221" s="261" t="s">
        <v>92</v>
      </c>
      <c r="D221" s="261" t="s">
        <v>92</v>
      </c>
      <c r="E221" s="261" t="s">
        <v>12</v>
      </c>
      <c r="F221" s="261" t="s">
        <v>157</v>
      </c>
      <c r="G221" s="261" t="s">
        <v>439</v>
      </c>
      <c r="H221" s="261" t="s">
        <v>12</v>
      </c>
      <c r="I221" s="261" t="s">
        <v>12</v>
      </c>
      <c r="J221" s="261" t="s">
        <v>13</v>
      </c>
      <c r="K221" s="261" t="s">
        <v>163</v>
      </c>
      <c r="M221" s="262"/>
      <c r="N221" s="262"/>
      <c r="O221" s="262">
        <v>61</v>
      </c>
      <c r="P221" s="262">
        <v>61</v>
      </c>
      <c r="Q221" s="262">
        <v>61</v>
      </c>
      <c r="R221" s="262">
        <v>61</v>
      </c>
      <c r="S221" s="262">
        <v>61</v>
      </c>
      <c r="T221" s="262">
        <v>61</v>
      </c>
      <c r="U221" s="262">
        <v>61</v>
      </c>
      <c r="V221" s="262">
        <v>61</v>
      </c>
      <c r="W221" s="262">
        <v>61</v>
      </c>
      <c r="X221" s="262">
        <v>61</v>
      </c>
      <c r="Y221" s="262">
        <f t="shared" si="4"/>
        <v>610</v>
      </c>
    </row>
    <row r="222" spans="1:25" s="261" customFormat="1" ht="11.25" customHeight="1">
      <c r="A222" s="261">
        <v>2014</v>
      </c>
      <c r="B222" s="261" t="s">
        <v>573</v>
      </c>
      <c r="C222" s="261" t="s">
        <v>92</v>
      </c>
      <c r="D222" s="261" t="s">
        <v>92</v>
      </c>
      <c r="E222" s="261" t="s">
        <v>12</v>
      </c>
      <c r="F222" s="261" t="s">
        <v>157</v>
      </c>
      <c r="G222" s="261" t="s">
        <v>439</v>
      </c>
      <c r="H222" s="261" t="s">
        <v>12</v>
      </c>
      <c r="I222" s="261" t="s">
        <v>12</v>
      </c>
      <c r="J222" s="261" t="s">
        <v>13</v>
      </c>
      <c r="K222" s="261" t="s">
        <v>159</v>
      </c>
      <c r="M222" s="262"/>
      <c r="N222" s="262"/>
      <c r="O222" s="262">
        <v>165</v>
      </c>
      <c r="P222" s="262">
        <v>165</v>
      </c>
      <c r="Q222" s="262">
        <v>165</v>
      </c>
      <c r="R222" s="262">
        <v>165</v>
      </c>
      <c r="S222" s="262">
        <v>165</v>
      </c>
      <c r="T222" s="262">
        <v>165</v>
      </c>
      <c r="U222" s="262">
        <v>165</v>
      </c>
      <c r="V222" s="262">
        <v>165</v>
      </c>
      <c r="W222" s="262">
        <v>165</v>
      </c>
      <c r="X222" s="262">
        <v>165</v>
      </c>
      <c r="Y222" s="262">
        <f t="shared" si="4"/>
        <v>1650</v>
      </c>
    </row>
    <row r="223" spans="1:25" s="261" customFormat="1" ht="11.25" customHeight="1">
      <c r="A223" s="261">
        <v>2014</v>
      </c>
      <c r="B223" s="261" t="s">
        <v>573</v>
      </c>
      <c r="C223" s="261" t="s">
        <v>92</v>
      </c>
      <c r="D223" s="261" t="s">
        <v>92</v>
      </c>
      <c r="E223" s="261" t="s">
        <v>12</v>
      </c>
      <c r="F223" s="261" t="s">
        <v>157</v>
      </c>
      <c r="G223" s="261" t="s">
        <v>439</v>
      </c>
      <c r="H223" s="261" t="s">
        <v>12</v>
      </c>
      <c r="I223" s="261" t="s">
        <v>12</v>
      </c>
      <c r="J223" s="261" t="s">
        <v>13</v>
      </c>
      <c r="K223" s="261" t="s">
        <v>164</v>
      </c>
      <c r="M223" s="262"/>
      <c r="N223" s="262"/>
      <c r="O223" s="262">
        <v>61</v>
      </c>
      <c r="P223" s="262">
        <v>61</v>
      </c>
      <c r="Q223" s="262">
        <v>61</v>
      </c>
      <c r="R223" s="262">
        <v>61</v>
      </c>
      <c r="S223" s="262">
        <v>61</v>
      </c>
      <c r="T223" s="262">
        <v>61</v>
      </c>
      <c r="U223" s="262">
        <v>61</v>
      </c>
      <c r="V223" s="262">
        <v>61</v>
      </c>
      <c r="W223" s="262">
        <v>61</v>
      </c>
      <c r="X223" s="262">
        <v>61</v>
      </c>
      <c r="Y223" s="262">
        <f t="shared" si="4"/>
        <v>610</v>
      </c>
    </row>
    <row r="224" spans="1:25" s="261" customFormat="1" ht="11.25" customHeight="1">
      <c r="A224" s="261">
        <v>2014</v>
      </c>
      <c r="B224" s="261" t="s">
        <v>573</v>
      </c>
      <c r="C224" s="261" t="s">
        <v>92</v>
      </c>
      <c r="D224" s="261" t="s">
        <v>92</v>
      </c>
      <c r="E224" s="261" t="s">
        <v>12</v>
      </c>
      <c r="F224" s="261" t="s">
        <v>157</v>
      </c>
      <c r="G224" s="261" t="s">
        <v>439</v>
      </c>
      <c r="H224" s="261" t="s">
        <v>12</v>
      </c>
      <c r="I224" s="261" t="s">
        <v>12</v>
      </c>
      <c r="J224" s="261" t="s">
        <v>13</v>
      </c>
      <c r="K224" s="261" t="s">
        <v>158</v>
      </c>
      <c r="M224" s="262"/>
      <c r="N224" s="262"/>
      <c r="O224" s="262">
        <v>490</v>
      </c>
      <c r="P224" s="262">
        <v>551</v>
      </c>
      <c r="Q224" s="262">
        <v>551</v>
      </c>
      <c r="R224" s="262">
        <v>551</v>
      </c>
      <c r="S224" s="262">
        <v>551</v>
      </c>
      <c r="T224" s="262">
        <v>551</v>
      </c>
      <c r="U224" s="262">
        <v>490</v>
      </c>
      <c r="V224" s="262">
        <v>490</v>
      </c>
      <c r="W224" s="262">
        <v>490</v>
      </c>
      <c r="X224" s="262">
        <v>490</v>
      </c>
      <c r="Y224" s="262">
        <f t="shared" si="4"/>
        <v>5205</v>
      </c>
    </row>
    <row r="225" spans="1:25" s="261" customFormat="1" ht="11.25" customHeight="1">
      <c r="A225" s="261">
        <v>2014</v>
      </c>
      <c r="B225" s="261" t="s">
        <v>573</v>
      </c>
      <c r="C225" s="261" t="s">
        <v>92</v>
      </c>
      <c r="D225" s="261" t="s">
        <v>92</v>
      </c>
      <c r="E225" s="261" t="s">
        <v>12</v>
      </c>
      <c r="F225" s="261" t="s">
        <v>157</v>
      </c>
      <c r="G225" s="261" t="s">
        <v>439</v>
      </c>
      <c r="H225" s="261" t="s">
        <v>12</v>
      </c>
      <c r="I225" s="261" t="s">
        <v>12</v>
      </c>
      <c r="J225" s="261" t="s">
        <v>13</v>
      </c>
      <c r="K225" s="261" t="s">
        <v>162</v>
      </c>
      <c r="M225" s="262"/>
      <c r="N225" s="262"/>
      <c r="O225" s="262">
        <v>61</v>
      </c>
      <c r="P225" s="262">
        <v>61</v>
      </c>
      <c r="Q225" s="262">
        <v>61</v>
      </c>
      <c r="R225" s="262">
        <v>61</v>
      </c>
      <c r="S225" s="262">
        <v>61</v>
      </c>
      <c r="T225" s="262">
        <v>61</v>
      </c>
      <c r="U225" s="262">
        <v>61</v>
      </c>
      <c r="V225" s="262">
        <v>61</v>
      </c>
      <c r="W225" s="262">
        <v>61</v>
      </c>
      <c r="X225" s="262">
        <v>61</v>
      </c>
      <c r="Y225" s="262">
        <f t="shared" si="4"/>
        <v>610</v>
      </c>
    </row>
    <row r="226" spans="1:25" s="261" customFormat="1" ht="11.25" customHeight="1">
      <c r="A226" s="261">
        <v>2014</v>
      </c>
      <c r="B226" s="261" t="s">
        <v>573</v>
      </c>
      <c r="C226" s="261" t="s">
        <v>92</v>
      </c>
      <c r="D226" s="261" t="s">
        <v>92</v>
      </c>
      <c r="E226" s="261" t="s">
        <v>12</v>
      </c>
      <c r="F226" s="261" t="s">
        <v>157</v>
      </c>
      <c r="G226" s="261" t="s">
        <v>439</v>
      </c>
      <c r="H226" s="261" t="s">
        <v>12</v>
      </c>
      <c r="I226" s="261" t="s">
        <v>12</v>
      </c>
      <c r="J226" s="261" t="s">
        <v>13</v>
      </c>
      <c r="M226" s="262"/>
      <c r="N226" s="262"/>
      <c r="O226" s="262">
        <v>165</v>
      </c>
      <c r="P226" s="262">
        <v>165</v>
      </c>
      <c r="Q226" s="262">
        <v>226</v>
      </c>
      <c r="R226" s="262">
        <v>226</v>
      </c>
      <c r="S226" s="262">
        <v>226</v>
      </c>
      <c r="T226" s="262">
        <v>226</v>
      </c>
      <c r="U226" s="262">
        <v>165</v>
      </c>
      <c r="V226" s="262">
        <v>165</v>
      </c>
      <c r="W226" s="262">
        <v>165</v>
      </c>
      <c r="X226" s="262">
        <v>165</v>
      </c>
      <c r="Y226" s="262">
        <f t="shared" si="4"/>
        <v>1894</v>
      </c>
    </row>
    <row r="227" spans="1:25" s="261" customFormat="1" ht="11.25" customHeight="1">
      <c r="A227" s="261">
        <v>2014</v>
      </c>
      <c r="B227" s="261" t="s">
        <v>573</v>
      </c>
      <c r="C227" s="261" t="s">
        <v>92</v>
      </c>
      <c r="D227" s="261" t="s">
        <v>92</v>
      </c>
      <c r="E227" s="261" t="s">
        <v>148</v>
      </c>
      <c r="F227" s="261" t="s">
        <v>155</v>
      </c>
      <c r="G227" s="261" t="s">
        <v>439</v>
      </c>
      <c r="H227" s="261" t="s">
        <v>148</v>
      </c>
      <c r="I227" s="261" t="s">
        <v>148</v>
      </c>
      <c r="J227" s="261" t="s">
        <v>148</v>
      </c>
      <c r="M227" s="262"/>
      <c r="N227" s="262"/>
      <c r="O227" s="262">
        <v>19642</v>
      </c>
      <c r="P227" s="262">
        <v>19642</v>
      </c>
      <c r="Q227" s="262">
        <v>19642</v>
      </c>
      <c r="R227" s="262">
        <v>19642</v>
      </c>
      <c r="S227" s="262">
        <v>19642</v>
      </c>
      <c r="T227" s="262">
        <v>19642</v>
      </c>
      <c r="U227" s="262">
        <v>19642</v>
      </c>
      <c r="V227" s="262">
        <v>19642</v>
      </c>
      <c r="W227" s="262">
        <v>19642</v>
      </c>
      <c r="X227" s="262">
        <v>19642</v>
      </c>
      <c r="Y227" s="262">
        <f t="shared" si="4"/>
        <v>196420</v>
      </c>
    </row>
    <row r="228" spans="1:25" s="261" customFormat="1" ht="11.25" customHeight="1">
      <c r="A228" s="261">
        <v>2014</v>
      </c>
      <c r="B228" s="261" t="s">
        <v>573</v>
      </c>
      <c r="C228" s="261" t="s">
        <v>92</v>
      </c>
      <c r="D228" s="261" t="s">
        <v>92</v>
      </c>
      <c r="E228" s="261" t="s">
        <v>37</v>
      </c>
      <c r="F228" s="261" t="s">
        <v>155</v>
      </c>
      <c r="G228" s="261" t="s">
        <v>439</v>
      </c>
      <c r="H228" s="261" t="s">
        <v>37</v>
      </c>
      <c r="I228" s="261" t="s">
        <v>37</v>
      </c>
      <c r="J228" s="261" t="s">
        <v>37</v>
      </c>
      <c r="M228" s="262"/>
      <c r="N228" s="262"/>
      <c r="O228" s="262">
        <v>1500</v>
      </c>
      <c r="P228" s="262">
        <v>1500</v>
      </c>
      <c r="Q228" s="262">
        <v>1500</v>
      </c>
      <c r="R228" s="262">
        <v>1500</v>
      </c>
      <c r="S228" s="262">
        <v>1500</v>
      </c>
      <c r="T228" s="262">
        <v>1500</v>
      </c>
      <c r="U228" s="262">
        <v>1500</v>
      </c>
      <c r="V228" s="262">
        <v>1500</v>
      </c>
      <c r="W228" s="262">
        <v>1500</v>
      </c>
      <c r="X228" s="262">
        <v>1500</v>
      </c>
      <c r="Y228" s="262">
        <f t="shared" si="4"/>
        <v>15000</v>
      </c>
    </row>
    <row r="229" spans="1:25" s="261" customFormat="1" ht="11.25" customHeight="1">
      <c r="A229" s="261">
        <v>2014</v>
      </c>
      <c r="B229" s="261" t="s">
        <v>573</v>
      </c>
      <c r="C229" s="261" t="s">
        <v>92</v>
      </c>
      <c r="D229" s="261" t="s">
        <v>92</v>
      </c>
      <c r="E229" s="261" t="s">
        <v>149</v>
      </c>
      <c r="F229" s="261" t="s">
        <v>155</v>
      </c>
      <c r="G229" s="261" t="s">
        <v>439</v>
      </c>
      <c r="H229" s="261" t="s">
        <v>149</v>
      </c>
      <c r="I229" s="261" t="s">
        <v>149</v>
      </c>
      <c r="J229" s="261" t="s">
        <v>150</v>
      </c>
      <c r="M229" s="262"/>
      <c r="N229" s="262"/>
      <c r="O229" s="262">
        <v>892.32</v>
      </c>
      <c r="P229" s="262">
        <v>892.32</v>
      </c>
      <c r="Q229" s="262">
        <v>892.32</v>
      </c>
      <c r="R229" s="262">
        <v>892.32</v>
      </c>
      <c r="S229" s="262">
        <v>892.32</v>
      </c>
      <c r="T229" s="262">
        <v>892.32</v>
      </c>
      <c r="U229" s="262">
        <v>892.32</v>
      </c>
      <c r="V229" s="262">
        <v>892.32</v>
      </c>
      <c r="W229" s="262">
        <v>892.32</v>
      </c>
      <c r="X229" s="262">
        <v>892.32</v>
      </c>
      <c r="Y229" s="262">
        <f t="shared" si="4"/>
        <v>8923.1999999999989</v>
      </c>
    </row>
    <row r="230" spans="1:25" s="261" customFormat="1" ht="11.25" customHeight="1">
      <c r="A230" s="261">
        <v>2014</v>
      </c>
      <c r="B230" s="261" t="s">
        <v>573</v>
      </c>
      <c r="C230" s="261" t="s">
        <v>92</v>
      </c>
      <c r="D230" s="261" t="s">
        <v>92</v>
      </c>
      <c r="E230" s="261" t="s">
        <v>12</v>
      </c>
      <c r="F230" s="261" t="s">
        <v>155</v>
      </c>
      <c r="G230" s="261" t="s">
        <v>439</v>
      </c>
      <c r="H230" s="261" t="s">
        <v>12</v>
      </c>
      <c r="I230" s="261" t="s">
        <v>12</v>
      </c>
      <c r="J230" s="261" t="s">
        <v>13</v>
      </c>
      <c r="M230" s="262"/>
      <c r="N230" s="262"/>
      <c r="O230" s="262">
        <v>490</v>
      </c>
      <c r="P230" s="262">
        <v>490</v>
      </c>
      <c r="Q230" s="262">
        <v>490</v>
      </c>
      <c r="R230" s="262">
        <v>490</v>
      </c>
      <c r="S230" s="262">
        <v>490</v>
      </c>
      <c r="T230" s="262">
        <v>490</v>
      </c>
      <c r="U230" s="262">
        <v>490</v>
      </c>
      <c r="V230" s="262">
        <v>490</v>
      </c>
      <c r="W230" s="262">
        <v>490</v>
      </c>
      <c r="X230" s="262">
        <v>490</v>
      </c>
      <c r="Y230" s="262">
        <f t="shared" si="4"/>
        <v>4900</v>
      </c>
    </row>
    <row r="231" spans="1:25" s="261" customFormat="1" ht="11.25" customHeight="1">
      <c r="A231" s="261">
        <v>2014</v>
      </c>
      <c r="B231" s="261" t="s">
        <v>573</v>
      </c>
      <c r="C231" s="261" t="s">
        <v>92</v>
      </c>
      <c r="D231" s="261" t="s">
        <v>92</v>
      </c>
      <c r="E231" s="261" t="s">
        <v>25</v>
      </c>
      <c r="F231" s="261" t="s">
        <v>130</v>
      </c>
      <c r="G231" s="261" t="s">
        <v>439</v>
      </c>
      <c r="H231" s="261" t="s">
        <v>25</v>
      </c>
      <c r="I231" s="261" t="s">
        <v>25</v>
      </c>
      <c r="J231" s="261" t="s">
        <v>26</v>
      </c>
      <c r="M231" s="262"/>
      <c r="N231" s="262"/>
      <c r="O231" s="262">
        <v>1300</v>
      </c>
      <c r="P231" s="262">
        <v>1300</v>
      </c>
      <c r="Q231" s="262">
        <v>1500</v>
      </c>
      <c r="R231" s="262">
        <v>1500</v>
      </c>
      <c r="S231" s="262">
        <v>1500</v>
      </c>
      <c r="T231" s="262">
        <v>1500</v>
      </c>
      <c r="U231" s="262">
        <v>1300</v>
      </c>
      <c r="V231" s="262">
        <v>1300</v>
      </c>
      <c r="W231" s="262">
        <v>1300</v>
      </c>
      <c r="X231" s="262">
        <v>1300</v>
      </c>
      <c r="Y231" s="262">
        <f t="shared" si="4"/>
        <v>13800</v>
      </c>
    </row>
    <row r="232" spans="1:25" s="261" customFormat="1" ht="11.25" customHeight="1">
      <c r="A232" s="261">
        <v>2014</v>
      </c>
      <c r="B232" s="261" t="s">
        <v>573</v>
      </c>
      <c r="C232" s="261" t="s">
        <v>92</v>
      </c>
      <c r="D232" s="261" t="s">
        <v>92</v>
      </c>
      <c r="E232" s="261" t="s">
        <v>25</v>
      </c>
      <c r="F232" s="261" t="s">
        <v>130</v>
      </c>
      <c r="G232" s="261" t="s">
        <v>439</v>
      </c>
      <c r="H232" s="261" t="s">
        <v>25</v>
      </c>
      <c r="I232" s="261" t="s">
        <v>25</v>
      </c>
      <c r="J232" s="261" t="s">
        <v>131</v>
      </c>
      <c r="M232" s="262"/>
      <c r="N232" s="262"/>
      <c r="O232" s="262">
        <v>20000</v>
      </c>
      <c r="P232" s="262">
        <v>20000</v>
      </c>
      <c r="Q232" s="262">
        <v>20000</v>
      </c>
      <c r="R232" s="262">
        <v>20000</v>
      </c>
      <c r="S232" s="262">
        <v>20000</v>
      </c>
      <c r="T232" s="262">
        <v>20000</v>
      </c>
      <c r="U232" s="262">
        <v>20000</v>
      </c>
      <c r="V232" s="262">
        <v>20000</v>
      </c>
      <c r="W232" s="262">
        <v>20000</v>
      </c>
      <c r="X232" s="262">
        <v>20000</v>
      </c>
      <c r="Y232" s="262">
        <f t="shared" si="4"/>
        <v>200000</v>
      </c>
    </row>
    <row r="233" spans="1:25" s="261" customFormat="1" ht="11.25" customHeight="1">
      <c r="A233" s="261">
        <v>2014</v>
      </c>
      <c r="B233" s="261" t="s">
        <v>573</v>
      </c>
      <c r="C233" s="261" t="s">
        <v>92</v>
      </c>
      <c r="D233" s="261" t="s">
        <v>92</v>
      </c>
      <c r="E233" s="261" t="s">
        <v>148</v>
      </c>
      <c r="F233" s="261" t="s">
        <v>130</v>
      </c>
      <c r="G233" s="261" t="s">
        <v>439</v>
      </c>
      <c r="H233" s="261" t="s">
        <v>148</v>
      </c>
      <c r="I233" s="261" t="s">
        <v>148</v>
      </c>
      <c r="J233" s="261" t="s">
        <v>148</v>
      </c>
      <c r="M233" s="262"/>
      <c r="N233" s="262"/>
      <c r="O233" s="262">
        <v>38072</v>
      </c>
      <c r="P233" s="262">
        <v>38072</v>
      </c>
      <c r="Q233" s="262">
        <v>38072</v>
      </c>
      <c r="R233" s="262">
        <v>38072</v>
      </c>
      <c r="S233" s="262">
        <v>38072</v>
      </c>
      <c r="T233" s="262">
        <v>38072</v>
      </c>
      <c r="U233" s="262">
        <v>38072</v>
      </c>
      <c r="V233" s="262">
        <v>38072</v>
      </c>
      <c r="W233" s="262">
        <v>38072</v>
      </c>
      <c r="X233" s="262">
        <v>38072</v>
      </c>
      <c r="Y233" s="262">
        <f t="shared" si="4"/>
        <v>380720</v>
      </c>
    </row>
    <row r="234" spans="1:25" s="261" customFormat="1" ht="11.25" customHeight="1">
      <c r="A234" s="261">
        <v>2014</v>
      </c>
      <c r="B234" s="261" t="s">
        <v>573</v>
      </c>
      <c r="C234" s="261" t="s">
        <v>92</v>
      </c>
      <c r="D234" s="261" t="s">
        <v>92</v>
      </c>
      <c r="E234" s="261" t="s">
        <v>37</v>
      </c>
      <c r="F234" s="261" t="s">
        <v>130</v>
      </c>
      <c r="G234" s="261" t="s">
        <v>439</v>
      </c>
      <c r="H234" s="261" t="s">
        <v>37</v>
      </c>
      <c r="I234" s="261" t="s">
        <v>37</v>
      </c>
      <c r="J234" s="261" t="s">
        <v>37</v>
      </c>
      <c r="M234" s="262"/>
      <c r="N234" s="262"/>
      <c r="O234" s="262">
        <v>5600</v>
      </c>
      <c r="P234" s="262">
        <v>5600</v>
      </c>
      <c r="Q234" s="262">
        <v>5600</v>
      </c>
      <c r="R234" s="262">
        <v>5600</v>
      </c>
      <c r="S234" s="262">
        <v>5600</v>
      </c>
      <c r="T234" s="262">
        <v>5600</v>
      </c>
      <c r="U234" s="262">
        <v>5600</v>
      </c>
      <c r="V234" s="262">
        <v>5600</v>
      </c>
      <c r="W234" s="262">
        <v>5600</v>
      </c>
      <c r="X234" s="262">
        <v>5600</v>
      </c>
      <c r="Y234" s="262">
        <f t="shared" si="4"/>
        <v>56000</v>
      </c>
    </row>
    <row r="235" spans="1:25" s="261" customFormat="1" ht="11.25" customHeight="1">
      <c r="A235" s="261">
        <v>2014</v>
      </c>
      <c r="B235" s="261" t="s">
        <v>573</v>
      </c>
      <c r="C235" s="261" t="s">
        <v>92</v>
      </c>
      <c r="D235" s="261" t="s">
        <v>92</v>
      </c>
      <c r="E235" s="261" t="s">
        <v>27</v>
      </c>
      <c r="F235" s="261" t="s">
        <v>130</v>
      </c>
      <c r="G235" s="261" t="s">
        <v>439</v>
      </c>
      <c r="H235" s="261" t="s">
        <v>27</v>
      </c>
      <c r="I235" s="261" t="s">
        <v>27</v>
      </c>
      <c r="J235" s="261" t="s">
        <v>28</v>
      </c>
      <c r="M235" s="262"/>
      <c r="N235" s="262"/>
      <c r="O235" s="262">
        <v>700</v>
      </c>
      <c r="P235" s="262">
        <v>700</v>
      </c>
      <c r="Q235" s="262">
        <v>1000</v>
      </c>
      <c r="R235" s="262">
        <v>1000</v>
      </c>
      <c r="S235" s="262">
        <v>1000</v>
      </c>
      <c r="T235" s="262">
        <v>1000</v>
      </c>
      <c r="U235" s="262">
        <v>700</v>
      </c>
      <c r="V235" s="262">
        <v>700</v>
      </c>
      <c r="W235" s="262">
        <v>700</v>
      </c>
      <c r="X235" s="262">
        <v>700</v>
      </c>
      <c r="Y235" s="262">
        <f t="shared" si="4"/>
        <v>8200</v>
      </c>
    </row>
    <row r="236" spans="1:25" s="261" customFormat="1" ht="11.25" customHeight="1">
      <c r="A236" s="261">
        <v>2014</v>
      </c>
      <c r="B236" s="261" t="s">
        <v>573</v>
      </c>
      <c r="C236" s="261" t="s">
        <v>92</v>
      </c>
      <c r="D236" s="261" t="s">
        <v>92</v>
      </c>
      <c r="E236" s="261" t="s">
        <v>27</v>
      </c>
      <c r="F236" s="261" t="s">
        <v>130</v>
      </c>
      <c r="G236" s="261" t="s">
        <v>439</v>
      </c>
      <c r="H236" s="261" t="s">
        <v>27</v>
      </c>
      <c r="I236" s="261" t="s">
        <v>27</v>
      </c>
      <c r="J236" s="261" t="s">
        <v>60</v>
      </c>
      <c r="M236" s="262"/>
      <c r="N236" s="262"/>
      <c r="O236" s="262">
        <v>606</v>
      </c>
      <c r="P236" s="262">
        <v>306</v>
      </c>
      <c r="Q236" s="262">
        <v>766</v>
      </c>
      <c r="R236" s="262">
        <v>606</v>
      </c>
      <c r="S236" s="262">
        <v>606</v>
      </c>
      <c r="T236" s="262">
        <v>766</v>
      </c>
      <c r="U236" s="262">
        <v>204</v>
      </c>
      <c r="V236" s="262">
        <v>313</v>
      </c>
      <c r="W236" s="262">
        <v>204</v>
      </c>
      <c r="X236" s="262">
        <v>204</v>
      </c>
      <c r="Y236" s="262">
        <f t="shared" si="4"/>
        <v>4581</v>
      </c>
    </row>
    <row r="237" spans="1:25" s="261" customFormat="1" ht="11.25" customHeight="1">
      <c r="A237" s="261">
        <v>2014</v>
      </c>
      <c r="B237" s="261" t="s">
        <v>574</v>
      </c>
      <c r="C237" s="261" t="s">
        <v>92</v>
      </c>
      <c r="D237" s="261" t="s">
        <v>92</v>
      </c>
      <c r="E237" s="261" t="s">
        <v>22</v>
      </c>
      <c r="F237" s="261" t="s">
        <v>130</v>
      </c>
      <c r="G237" s="261" t="s">
        <v>439</v>
      </c>
      <c r="H237" s="261" t="s">
        <v>22</v>
      </c>
      <c r="I237" s="261" t="s">
        <v>145</v>
      </c>
      <c r="J237" s="261" t="s">
        <v>146</v>
      </c>
      <c r="M237" s="262"/>
      <c r="N237" s="262"/>
      <c r="O237" s="262"/>
      <c r="P237" s="262">
        <v>25000</v>
      </c>
      <c r="Q237" s="262">
        <v>50000</v>
      </c>
      <c r="R237" s="262">
        <v>50000</v>
      </c>
      <c r="S237" s="262">
        <v>50000</v>
      </c>
      <c r="T237" s="262">
        <v>25000</v>
      </c>
      <c r="U237" s="262"/>
      <c r="V237" s="262"/>
      <c r="W237" s="262"/>
      <c r="X237" s="262"/>
      <c r="Y237" s="262">
        <f t="shared" si="4"/>
        <v>200000</v>
      </c>
    </row>
    <row r="238" spans="1:25" s="261" customFormat="1" ht="11.25" customHeight="1">
      <c r="A238" s="261">
        <v>2014</v>
      </c>
      <c r="B238" s="261" t="s">
        <v>574</v>
      </c>
      <c r="C238" s="261" t="s">
        <v>92</v>
      </c>
      <c r="D238" s="261" t="s">
        <v>92</v>
      </c>
      <c r="E238" s="261" t="s">
        <v>22</v>
      </c>
      <c r="F238" s="261" t="s">
        <v>130</v>
      </c>
      <c r="G238" s="261" t="s">
        <v>439</v>
      </c>
      <c r="H238" s="261" t="s">
        <v>22</v>
      </c>
      <c r="I238" s="261" t="s">
        <v>132</v>
      </c>
      <c r="J238" s="261" t="s">
        <v>133</v>
      </c>
      <c r="M238" s="262"/>
      <c r="N238" s="262"/>
      <c r="O238" s="262">
        <v>40000</v>
      </c>
      <c r="P238" s="262">
        <v>45000</v>
      </c>
      <c r="Q238" s="262">
        <v>50000</v>
      </c>
      <c r="R238" s="262">
        <v>50000</v>
      </c>
      <c r="S238" s="262">
        <v>55000</v>
      </c>
      <c r="T238" s="262">
        <v>55000</v>
      </c>
      <c r="U238" s="262">
        <v>45000</v>
      </c>
      <c r="V238" s="262">
        <v>40000</v>
      </c>
      <c r="W238" s="262">
        <v>40000</v>
      </c>
      <c r="X238" s="262">
        <v>40000</v>
      </c>
      <c r="Y238" s="262">
        <f t="shared" si="4"/>
        <v>460000</v>
      </c>
    </row>
    <row r="239" spans="1:25" s="261" customFormat="1" ht="11.25" customHeight="1">
      <c r="A239" s="261">
        <v>2014</v>
      </c>
      <c r="B239" s="261" t="s">
        <v>573</v>
      </c>
      <c r="C239" s="261" t="s">
        <v>92</v>
      </c>
      <c r="D239" s="261" t="s">
        <v>92</v>
      </c>
      <c r="E239" s="261" t="s">
        <v>149</v>
      </c>
      <c r="F239" s="261" t="s">
        <v>130</v>
      </c>
      <c r="G239" s="261" t="s">
        <v>439</v>
      </c>
      <c r="H239" s="261" t="s">
        <v>149</v>
      </c>
      <c r="I239" s="261" t="s">
        <v>149</v>
      </c>
      <c r="J239" s="261" t="s">
        <v>150</v>
      </c>
      <c r="M239" s="262"/>
      <c r="N239" s="262"/>
      <c r="O239" s="262">
        <v>6624.36</v>
      </c>
      <c r="P239" s="262">
        <v>7290.63</v>
      </c>
      <c r="Q239" s="262">
        <v>7290.63</v>
      </c>
      <c r="R239" s="262">
        <v>7290.63</v>
      </c>
      <c r="S239" s="262">
        <v>7290.63</v>
      </c>
      <c r="T239" s="262">
        <v>7290.63</v>
      </c>
      <c r="U239" s="262">
        <v>7290.63</v>
      </c>
      <c r="V239" s="262">
        <v>7290.63</v>
      </c>
      <c r="W239" s="262">
        <v>7290.63</v>
      </c>
      <c r="X239" s="262">
        <v>7290.63</v>
      </c>
      <c r="Y239" s="262">
        <f t="shared" si="4"/>
        <v>72240.029999999984</v>
      </c>
    </row>
    <row r="240" spans="1:25" s="261" customFormat="1" ht="11.25" customHeight="1">
      <c r="A240" s="261">
        <v>2014</v>
      </c>
      <c r="B240" s="261" t="s">
        <v>573</v>
      </c>
      <c r="C240" s="261" t="s">
        <v>92</v>
      </c>
      <c r="D240" s="261" t="s">
        <v>92</v>
      </c>
      <c r="E240" s="261" t="s">
        <v>18</v>
      </c>
      <c r="F240" s="261" t="s">
        <v>130</v>
      </c>
      <c r="G240" s="261" t="s">
        <v>439</v>
      </c>
      <c r="H240" s="261" t="s">
        <v>18</v>
      </c>
      <c r="I240" s="261" t="s">
        <v>18</v>
      </c>
      <c r="J240" s="261" t="s">
        <v>43</v>
      </c>
      <c r="M240" s="262"/>
      <c r="N240" s="262"/>
      <c r="O240" s="262">
        <v>800</v>
      </c>
      <c r="P240" s="262">
        <v>800</v>
      </c>
      <c r="Q240" s="262">
        <v>800</v>
      </c>
      <c r="R240" s="262">
        <v>800</v>
      </c>
      <c r="S240" s="262">
        <v>800</v>
      </c>
      <c r="T240" s="262">
        <v>800</v>
      </c>
      <c r="U240" s="262">
        <v>800</v>
      </c>
      <c r="V240" s="262">
        <v>800</v>
      </c>
      <c r="W240" s="262">
        <v>800</v>
      </c>
      <c r="X240" s="262">
        <v>800</v>
      </c>
      <c r="Y240" s="262">
        <f t="shared" si="4"/>
        <v>8000</v>
      </c>
    </row>
    <row r="241" spans="1:25" s="261" customFormat="1" ht="11.25" customHeight="1">
      <c r="A241" s="261">
        <v>2014</v>
      </c>
      <c r="B241" s="261" t="s">
        <v>573</v>
      </c>
      <c r="C241" s="261" t="s">
        <v>92</v>
      </c>
      <c r="D241" s="261" t="s">
        <v>92</v>
      </c>
      <c r="E241" s="261" t="s">
        <v>138</v>
      </c>
      <c r="F241" s="261" t="s">
        <v>130</v>
      </c>
      <c r="G241" s="261" t="s">
        <v>439</v>
      </c>
      <c r="H241" s="261" t="s">
        <v>138</v>
      </c>
      <c r="I241" s="261" t="s">
        <v>139</v>
      </c>
      <c r="J241" s="261" t="s">
        <v>140</v>
      </c>
      <c r="M241" s="262"/>
      <c r="N241" s="262"/>
      <c r="O241" s="262">
        <v>10000</v>
      </c>
      <c r="P241" s="262">
        <v>10000</v>
      </c>
      <c r="Q241" s="262">
        <v>10000</v>
      </c>
      <c r="R241" s="262">
        <v>10000</v>
      </c>
      <c r="S241" s="262">
        <v>10000</v>
      </c>
      <c r="T241" s="262">
        <v>10000</v>
      </c>
      <c r="U241" s="262">
        <v>10000</v>
      </c>
      <c r="V241" s="262">
        <v>10000</v>
      </c>
      <c r="W241" s="262">
        <v>10000</v>
      </c>
      <c r="X241" s="262">
        <v>10000</v>
      </c>
      <c r="Y241" s="262">
        <f t="shared" si="4"/>
        <v>100000</v>
      </c>
    </row>
    <row r="242" spans="1:25" s="261" customFormat="1" ht="11.25" customHeight="1">
      <c r="A242" s="261">
        <v>2014</v>
      </c>
      <c r="B242" s="261" t="s">
        <v>574</v>
      </c>
      <c r="C242" s="261" t="s">
        <v>92</v>
      </c>
      <c r="D242" s="261" t="s">
        <v>92</v>
      </c>
      <c r="E242" s="261" t="s">
        <v>45</v>
      </c>
      <c r="F242" s="261" t="s">
        <v>130</v>
      </c>
      <c r="G242" s="261" t="s">
        <v>439</v>
      </c>
      <c r="H242" s="261" t="s">
        <v>45</v>
      </c>
      <c r="I242" s="261" t="s">
        <v>45</v>
      </c>
      <c r="J242" s="261" t="s">
        <v>46</v>
      </c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>
        <f t="shared" si="4"/>
        <v>0</v>
      </c>
    </row>
    <row r="243" spans="1:25" s="261" customFormat="1" ht="11.25" customHeight="1">
      <c r="A243" s="261">
        <v>2014</v>
      </c>
      <c r="B243" s="261" t="s">
        <v>573</v>
      </c>
      <c r="C243" s="261" t="s">
        <v>92</v>
      </c>
      <c r="D243" s="261" t="s">
        <v>92</v>
      </c>
      <c r="E243" s="261" t="s">
        <v>141</v>
      </c>
      <c r="F243" s="261" t="s">
        <v>130</v>
      </c>
      <c r="G243" s="261" t="s">
        <v>439</v>
      </c>
      <c r="H243" s="261" t="s">
        <v>141</v>
      </c>
      <c r="I243" s="261" t="s">
        <v>141</v>
      </c>
      <c r="J243" s="261" t="s">
        <v>141</v>
      </c>
      <c r="M243" s="262"/>
      <c r="N243" s="262"/>
      <c r="O243" s="262">
        <v>1400</v>
      </c>
      <c r="P243" s="262">
        <v>1400</v>
      </c>
      <c r="Q243" s="262">
        <v>2100</v>
      </c>
      <c r="R243" s="262">
        <v>1400</v>
      </c>
      <c r="S243" s="262">
        <v>2100</v>
      </c>
      <c r="T243" s="262">
        <v>1400</v>
      </c>
      <c r="U243" s="262">
        <v>1400</v>
      </c>
      <c r="V243" s="262">
        <v>2100</v>
      </c>
      <c r="W243" s="262">
        <v>1400</v>
      </c>
      <c r="X243" s="262">
        <v>1400</v>
      </c>
      <c r="Y243" s="262">
        <f t="shared" si="4"/>
        <v>16100</v>
      </c>
    </row>
    <row r="244" spans="1:25" s="261" customFormat="1" ht="11.25" customHeight="1">
      <c r="A244" s="261">
        <v>2014</v>
      </c>
      <c r="B244" s="261" t="s">
        <v>573</v>
      </c>
      <c r="C244" s="261" t="s">
        <v>92</v>
      </c>
      <c r="D244" s="261" t="s">
        <v>92</v>
      </c>
      <c r="E244" s="261" t="s">
        <v>29</v>
      </c>
      <c r="F244" s="261" t="s">
        <v>130</v>
      </c>
      <c r="G244" s="261" t="s">
        <v>439</v>
      </c>
      <c r="H244" s="261" t="s">
        <v>29</v>
      </c>
      <c r="I244" s="261" t="s">
        <v>29</v>
      </c>
      <c r="J244" s="261" t="s">
        <v>31</v>
      </c>
      <c r="M244" s="262"/>
      <c r="N244" s="262"/>
      <c r="O244" s="262">
        <v>600</v>
      </c>
      <c r="P244" s="262">
        <v>600</v>
      </c>
      <c r="Q244" s="262">
        <v>600</v>
      </c>
      <c r="R244" s="262">
        <v>600</v>
      </c>
      <c r="S244" s="262">
        <v>600</v>
      </c>
      <c r="T244" s="262">
        <v>600</v>
      </c>
      <c r="U244" s="262">
        <v>600</v>
      </c>
      <c r="V244" s="262">
        <v>600</v>
      </c>
      <c r="W244" s="262">
        <v>600</v>
      </c>
      <c r="X244" s="262">
        <v>600</v>
      </c>
      <c r="Y244" s="262">
        <f t="shared" si="4"/>
        <v>6000</v>
      </c>
    </row>
    <row r="245" spans="1:25" s="261" customFormat="1" ht="11.25" customHeight="1">
      <c r="A245" s="261">
        <v>2014</v>
      </c>
      <c r="B245" s="261" t="s">
        <v>573</v>
      </c>
      <c r="C245" s="261" t="s">
        <v>92</v>
      </c>
      <c r="D245" s="261" t="s">
        <v>92</v>
      </c>
      <c r="E245" s="261" t="s">
        <v>29</v>
      </c>
      <c r="F245" s="261" t="s">
        <v>130</v>
      </c>
      <c r="G245" s="261" t="s">
        <v>439</v>
      </c>
      <c r="H245" s="261" t="s">
        <v>29</v>
      </c>
      <c r="I245" s="261" t="s">
        <v>29</v>
      </c>
      <c r="J245" s="261" t="s">
        <v>30</v>
      </c>
      <c r="M245" s="262"/>
      <c r="N245" s="262"/>
      <c r="O245" s="262">
        <v>150</v>
      </c>
      <c r="P245" s="262">
        <v>150</v>
      </c>
      <c r="Q245" s="262">
        <v>150</v>
      </c>
      <c r="R245" s="262">
        <v>150</v>
      </c>
      <c r="S245" s="262">
        <v>150</v>
      </c>
      <c r="T245" s="262">
        <v>150</v>
      </c>
      <c r="U245" s="262">
        <v>150</v>
      </c>
      <c r="V245" s="262">
        <v>150</v>
      </c>
      <c r="W245" s="262">
        <v>150</v>
      </c>
      <c r="X245" s="262">
        <v>150</v>
      </c>
      <c r="Y245" s="262">
        <f t="shared" si="4"/>
        <v>1500</v>
      </c>
    </row>
    <row r="246" spans="1:25" s="261" customFormat="1" ht="11.25" customHeight="1">
      <c r="A246" s="261">
        <v>2014</v>
      </c>
      <c r="B246" s="261" t="s">
        <v>573</v>
      </c>
      <c r="C246" s="261" t="s">
        <v>92</v>
      </c>
      <c r="D246" s="261" t="s">
        <v>92</v>
      </c>
      <c r="E246" s="261" t="s">
        <v>12</v>
      </c>
      <c r="F246" s="261" t="s">
        <v>130</v>
      </c>
      <c r="G246" s="261" t="s">
        <v>439</v>
      </c>
      <c r="H246" s="261" t="s">
        <v>12</v>
      </c>
      <c r="I246" s="261" t="s">
        <v>12</v>
      </c>
      <c r="J246" s="261" t="s">
        <v>134</v>
      </c>
      <c r="M246" s="262"/>
      <c r="N246" s="262"/>
      <c r="O246" s="262">
        <v>400</v>
      </c>
      <c r="P246" s="262">
        <v>400</v>
      </c>
      <c r="Q246" s="262">
        <v>400</v>
      </c>
      <c r="R246" s="262">
        <v>400</v>
      </c>
      <c r="S246" s="262">
        <v>400</v>
      </c>
      <c r="T246" s="262">
        <v>400</v>
      </c>
      <c r="U246" s="262">
        <v>400</v>
      </c>
      <c r="V246" s="262">
        <v>400</v>
      </c>
      <c r="W246" s="262">
        <v>400</v>
      </c>
      <c r="X246" s="262">
        <v>400</v>
      </c>
      <c r="Y246" s="262">
        <f t="shared" si="4"/>
        <v>4000</v>
      </c>
    </row>
    <row r="247" spans="1:25" s="261" customFormat="1" ht="11.25" customHeight="1">
      <c r="A247" s="261">
        <v>2014</v>
      </c>
      <c r="B247" s="261" t="s">
        <v>573</v>
      </c>
      <c r="C247" s="261" t="s">
        <v>92</v>
      </c>
      <c r="D247" s="261" t="s">
        <v>92</v>
      </c>
      <c r="E247" s="261" t="s">
        <v>12</v>
      </c>
      <c r="F247" s="261" t="s">
        <v>130</v>
      </c>
      <c r="G247" s="261" t="s">
        <v>439</v>
      </c>
      <c r="H247" s="261" t="s">
        <v>12</v>
      </c>
      <c r="I247" s="261" t="s">
        <v>12</v>
      </c>
      <c r="J247" s="261" t="s">
        <v>13</v>
      </c>
      <c r="K247" s="261" t="s">
        <v>137</v>
      </c>
      <c r="M247" s="262"/>
      <c r="N247" s="262"/>
      <c r="O247" s="262">
        <v>11</v>
      </c>
      <c r="P247" s="262">
        <v>11</v>
      </c>
      <c r="Q247" s="262">
        <v>11</v>
      </c>
      <c r="R247" s="262">
        <v>11</v>
      </c>
      <c r="S247" s="262">
        <v>11</v>
      </c>
      <c r="T247" s="262">
        <v>11</v>
      </c>
      <c r="U247" s="262">
        <v>11</v>
      </c>
      <c r="V247" s="262">
        <v>11</v>
      </c>
      <c r="W247" s="262">
        <v>11</v>
      </c>
      <c r="X247" s="262">
        <v>11</v>
      </c>
      <c r="Y247" s="262">
        <f t="shared" si="4"/>
        <v>110</v>
      </c>
    </row>
    <row r="248" spans="1:25" s="261" customFormat="1" ht="11.25" customHeight="1">
      <c r="A248" s="261">
        <v>2014</v>
      </c>
      <c r="B248" s="261" t="s">
        <v>573</v>
      </c>
      <c r="C248" s="261" t="s">
        <v>92</v>
      </c>
      <c r="D248" s="261" t="s">
        <v>92</v>
      </c>
      <c r="E248" s="261" t="s">
        <v>12</v>
      </c>
      <c r="F248" s="261" t="s">
        <v>130</v>
      </c>
      <c r="G248" s="261" t="s">
        <v>439</v>
      </c>
      <c r="H248" s="261" t="s">
        <v>12</v>
      </c>
      <c r="I248" s="261" t="s">
        <v>12</v>
      </c>
      <c r="J248" s="261" t="s">
        <v>13</v>
      </c>
      <c r="K248" s="261" t="s">
        <v>142</v>
      </c>
      <c r="M248" s="262"/>
      <c r="N248" s="262"/>
      <c r="O248" s="262">
        <v>11</v>
      </c>
      <c r="P248" s="262">
        <v>11</v>
      </c>
      <c r="Q248" s="262">
        <v>11</v>
      </c>
      <c r="R248" s="262">
        <v>11</v>
      </c>
      <c r="S248" s="262">
        <v>11</v>
      </c>
      <c r="T248" s="262">
        <v>11</v>
      </c>
      <c r="U248" s="262">
        <v>11</v>
      </c>
      <c r="V248" s="262">
        <v>11</v>
      </c>
      <c r="W248" s="262">
        <v>11</v>
      </c>
      <c r="X248" s="262">
        <v>11</v>
      </c>
      <c r="Y248" s="262">
        <f t="shared" si="4"/>
        <v>110</v>
      </c>
    </row>
    <row r="249" spans="1:25" s="261" customFormat="1" ht="11.25" customHeight="1">
      <c r="A249" s="261">
        <v>2014</v>
      </c>
      <c r="B249" s="261" t="s">
        <v>573</v>
      </c>
      <c r="C249" s="261" t="s">
        <v>92</v>
      </c>
      <c r="D249" s="261" t="s">
        <v>92</v>
      </c>
      <c r="E249" s="261" t="s">
        <v>12</v>
      </c>
      <c r="F249" s="261" t="s">
        <v>130</v>
      </c>
      <c r="G249" s="261" t="s">
        <v>439</v>
      </c>
      <c r="H249" s="261" t="s">
        <v>12</v>
      </c>
      <c r="I249" s="261" t="s">
        <v>12</v>
      </c>
      <c r="J249" s="261" t="s">
        <v>13</v>
      </c>
      <c r="K249" s="261" t="s">
        <v>135</v>
      </c>
      <c r="M249" s="262"/>
      <c r="N249" s="262"/>
      <c r="O249" s="262">
        <v>176</v>
      </c>
      <c r="P249" s="262">
        <v>176</v>
      </c>
      <c r="Q249" s="262">
        <v>176</v>
      </c>
      <c r="R249" s="262">
        <v>176</v>
      </c>
      <c r="S249" s="262">
        <v>176</v>
      </c>
      <c r="T249" s="262">
        <v>176</v>
      </c>
      <c r="U249" s="262">
        <v>176</v>
      </c>
      <c r="V249" s="262">
        <v>165</v>
      </c>
      <c r="W249" s="262">
        <v>176</v>
      </c>
      <c r="X249" s="262">
        <v>176</v>
      </c>
      <c r="Y249" s="262">
        <f t="shared" si="4"/>
        <v>1749</v>
      </c>
    </row>
    <row r="250" spans="1:25" s="261" customFormat="1" ht="11.25" customHeight="1">
      <c r="A250" s="261">
        <v>2014</v>
      </c>
      <c r="B250" s="261" t="s">
        <v>573</v>
      </c>
      <c r="C250" s="261" t="s">
        <v>92</v>
      </c>
      <c r="D250" s="261" t="s">
        <v>92</v>
      </c>
      <c r="E250" s="261" t="s">
        <v>12</v>
      </c>
      <c r="F250" s="261" t="s">
        <v>130</v>
      </c>
      <c r="G250" s="261" t="s">
        <v>439</v>
      </c>
      <c r="H250" s="261" t="s">
        <v>12</v>
      </c>
      <c r="I250" s="261" t="s">
        <v>12</v>
      </c>
      <c r="J250" s="261" t="s">
        <v>13</v>
      </c>
      <c r="K250" s="261" t="s">
        <v>143</v>
      </c>
      <c r="M250" s="262"/>
      <c r="N250" s="262"/>
      <c r="O250" s="262">
        <v>11</v>
      </c>
      <c r="P250" s="262">
        <v>11</v>
      </c>
      <c r="Q250" s="262">
        <v>11</v>
      </c>
      <c r="R250" s="262">
        <v>11</v>
      </c>
      <c r="S250" s="262">
        <v>11</v>
      </c>
      <c r="T250" s="262">
        <v>11</v>
      </c>
      <c r="U250" s="262">
        <v>11</v>
      </c>
      <c r="V250" s="262">
        <v>11</v>
      </c>
      <c r="W250" s="262">
        <v>11</v>
      </c>
      <c r="X250" s="262">
        <v>11</v>
      </c>
      <c r="Y250" s="262">
        <f t="shared" si="4"/>
        <v>110</v>
      </c>
    </row>
    <row r="251" spans="1:25" s="261" customFormat="1" ht="11.25" customHeight="1">
      <c r="A251" s="261">
        <v>2014</v>
      </c>
      <c r="B251" s="261" t="s">
        <v>573</v>
      </c>
      <c r="C251" s="261" t="s">
        <v>92</v>
      </c>
      <c r="D251" s="261" t="s">
        <v>92</v>
      </c>
      <c r="E251" s="261" t="s">
        <v>12</v>
      </c>
      <c r="F251" s="261" t="s">
        <v>130</v>
      </c>
      <c r="G251" s="261" t="s">
        <v>439</v>
      </c>
      <c r="H251" s="261" t="s">
        <v>12</v>
      </c>
      <c r="I251" s="261" t="s">
        <v>12</v>
      </c>
      <c r="J251" s="261" t="s">
        <v>13</v>
      </c>
      <c r="K251" s="261" t="s">
        <v>136</v>
      </c>
      <c r="M251" s="262"/>
      <c r="N251" s="262"/>
      <c r="O251" s="262">
        <v>61</v>
      </c>
      <c r="P251" s="262">
        <v>61</v>
      </c>
      <c r="Q251" s="262">
        <v>61</v>
      </c>
      <c r="R251" s="262">
        <v>61</v>
      </c>
      <c r="S251" s="262">
        <v>61</v>
      </c>
      <c r="T251" s="262">
        <v>61</v>
      </c>
      <c r="U251" s="262">
        <v>61</v>
      </c>
      <c r="V251" s="262">
        <v>61</v>
      </c>
      <c r="W251" s="262">
        <v>61</v>
      </c>
      <c r="X251" s="262">
        <v>61</v>
      </c>
      <c r="Y251" s="262">
        <f t="shared" si="4"/>
        <v>610</v>
      </c>
    </row>
    <row r="252" spans="1:25" s="261" customFormat="1" ht="11.25" customHeight="1">
      <c r="A252" s="261">
        <v>2014</v>
      </c>
      <c r="B252" s="261" t="s">
        <v>573</v>
      </c>
      <c r="C252" s="261" t="s">
        <v>92</v>
      </c>
      <c r="D252" s="261" t="s">
        <v>92</v>
      </c>
      <c r="E252" s="261" t="s">
        <v>12</v>
      </c>
      <c r="F252" s="261" t="s">
        <v>130</v>
      </c>
      <c r="G252" s="261" t="s">
        <v>439</v>
      </c>
      <c r="H252" s="261" t="s">
        <v>12</v>
      </c>
      <c r="I252" s="261" t="s">
        <v>12</v>
      </c>
      <c r="J252" s="261" t="s">
        <v>13</v>
      </c>
      <c r="K252" s="261" t="s">
        <v>432</v>
      </c>
      <c r="M252" s="262"/>
      <c r="N252" s="262"/>
      <c r="O252" s="262"/>
      <c r="P252" s="262"/>
      <c r="Q252" s="262"/>
      <c r="R252" s="262"/>
      <c r="S252" s="262"/>
      <c r="T252" s="262"/>
      <c r="U252" s="262"/>
      <c r="V252" s="262">
        <v>11</v>
      </c>
      <c r="W252" s="262"/>
      <c r="X252" s="262"/>
      <c r="Y252" s="262">
        <f t="shared" si="4"/>
        <v>11</v>
      </c>
    </row>
    <row r="253" spans="1:25" s="261" customFormat="1" ht="11.25" customHeight="1">
      <c r="A253" s="261">
        <v>2014</v>
      </c>
      <c r="B253" s="261" t="s">
        <v>573</v>
      </c>
      <c r="C253" s="261" t="s">
        <v>92</v>
      </c>
      <c r="D253" s="261" t="s">
        <v>92</v>
      </c>
      <c r="E253" s="261" t="s">
        <v>12</v>
      </c>
      <c r="F253" s="261" t="s">
        <v>130</v>
      </c>
      <c r="G253" s="261" t="s">
        <v>439</v>
      </c>
      <c r="H253" s="261" t="s">
        <v>12</v>
      </c>
      <c r="I253" s="261" t="s">
        <v>12</v>
      </c>
      <c r="J253" s="261" t="s">
        <v>13</v>
      </c>
      <c r="K253" s="261" t="s">
        <v>144</v>
      </c>
      <c r="M253" s="262"/>
      <c r="N253" s="262"/>
      <c r="O253" s="262">
        <v>11</v>
      </c>
      <c r="P253" s="262">
        <v>11</v>
      </c>
      <c r="Q253" s="262">
        <v>11</v>
      </c>
      <c r="R253" s="262">
        <v>11</v>
      </c>
      <c r="S253" s="262">
        <v>11</v>
      </c>
      <c r="T253" s="262">
        <v>11</v>
      </c>
      <c r="U253" s="262">
        <v>11</v>
      </c>
      <c r="V253" s="262">
        <v>11</v>
      </c>
      <c r="W253" s="262">
        <v>11</v>
      </c>
      <c r="X253" s="262">
        <v>11</v>
      </c>
      <c r="Y253" s="262">
        <f t="shared" si="4"/>
        <v>110</v>
      </c>
    </row>
    <row r="254" spans="1:25" s="261" customFormat="1" ht="11.25" customHeight="1">
      <c r="A254" s="261">
        <v>2014</v>
      </c>
      <c r="B254" s="261" t="s">
        <v>573</v>
      </c>
      <c r="C254" s="261" t="s">
        <v>92</v>
      </c>
      <c r="D254" s="261" t="s">
        <v>92</v>
      </c>
      <c r="E254" s="261" t="s">
        <v>148</v>
      </c>
      <c r="F254" s="261" t="s">
        <v>235</v>
      </c>
      <c r="G254" s="261" t="s">
        <v>439</v>
      </c>
      <c r="H254" s="261" t="s">
        <v>148</v>
      </c>
      <c r="I254" s="261" t="s">
        <v>148</v>
      </c>
      <c r="J254" s="261" t="s">
        <v>148</v>
      </c>
      <c r="M254" s="262"/>
      <c r="N254" s="262"/>
      <c r="O254" s="262">
        <v>137245</v>
      </c>
      <c r="P254" s="262">
        <v>139405</v>
      </c>
      <c r="Q254" s="262">
        <v>139405</v>
      </c>
      <c r="R254" s="262">
        <v>139405</v>
      </c>
      <c r="S254" s="262">
        <v>139405</v>
      </c>
      <c r="T254" s="262">
        <v>139405</v>
      </c>
      <c r="U254" s="262">
        <v>122529</v>
      </c>
      <c r="V254" s="262">
        <v>102376</v>
      </c>
      <c r="W254" s="262">
        <v>102376</v>
      </c>
      <c r="X254" s="262">
        <v>102376</v>
      </c>
      <c r="Y254" s="262">
        <f t="shared" si="4"/>
        <v>1263927</v>
      </c>
    </row>
    <row r="255" spans="1:25" s="261" customFormat="1" ht="11.25" customHeight="1">
      <c r="A255" s="261">
        <v>2014</v>
      </c>
      <c r="B255" s="261" t="s">
        <v>573</v>
      </c>
      <c r="C255" s="261" t="s">
        <v>92</v>
      </c>
      <c r="D255" s="261" t="s">
        <v>92</v>
      </c>
      <c r="E255" s="261" t="s">
        <v>37</v>
      </c>
      <c r="F255" s="261" t="s">
        <v>235</v>
      </c>
      <c r="G255" s="261" t="s">
        <v>439</v>
      </c>
      <c r="H255" s="261" t="s">
        <v>37</v>
      </c>
      <c r="I255" s="261" t="s">
        <v>37</v>
      </c>
      <c r="J255" s="261" t="s">
        <v>37</v>
      </c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>
        <f t="shared" si="4"/>
        <v>0</v>
      </c>
    </row>
    <row r="256" spans="1:25" s="261" customFormat="1" ht="11.25" customHeight="1">
      <c r="A256" s="261">
        <v>2014</v>
      </c>
      <c r="B256" s="261" t="s">
        <v>573</v>
      </c>
      <c r="C256" s="261" t="s">
        <v>92</v>
      </c>
      <c r="D256" s="261" t="s">
        <v>92</v>
      </c>
      <c r="E256" s="261" t="s">
        <v>27</v>
      </c>
      <c r="F256" s="261" t="s">
        <v>235</v>
      </c>
      <c r="G256" s="261" t="s">
        <v>439</v>
      </c>
      <c r="H256" s="261" t="s">
        <v>27</v>
      </c>
      <c r="I256" s="261" t="s">
        <v>27</v>
      </c>
      <c r="J256" s="261" t="s">
        <v>28</v>
      </c>
      <c r="M256" s="262"/>
      <c r="N256" s="262"/>
      <c r="O256" s="262">
        <v>1200</v>
      </c>
      <c r="P256" s="262">
        <v>1500</v>
      </c>
      <c r="Q256" s="262">
        <v>1500</v>
      </c>
      <c r="R256" s="262">
        <v>1500</v>
      </c>
      <c r="S256" s="262">
        <v>1500</v>
      </c>
      <c r="T256" s="262">
        <v>1200</v>
      </c>
      <c r="U256" s="262">
        <v>1200</v>
      </c>
      <c r="V256" s="262">
        <v>1200</v>
      </c>
      <c r="W256" s="262">
        <v>1200</v>
      </c>
      <c r="X256" s="262">
        <v>1200</v>
      </c>
      <c r="Y256" s="262">
        <f t="shared" si="4"/>
        <v>13200</v>
      </c>
    </row>
    <row r="257" spans="1:25" s="261" customFormat="1" ht="11.25" customHeight="1">
      <c r="A257" s="261">
        <v>2014</v>
      </c>
      <c r="B257" s="261" t="s">
        <v>574</v>
      </c>
      <c r="C257" s="261" t="s">
        <v>92</v>
      </c>
      <c r="D257" s="261" t="s">
        <v>92</v>
      </c>
      <c r="E257" s="261" t="s">
        <v>22</v>
      </c>
      <c r="F257" s="261" t="s">
        <v>235</v>
      </c>
      <c r="G257" s="261" t="s">
        <v>439</v>
      </c>
      <c r="H257" s="261" t="s">
        <v>22</v>
      </c>
      <c r="I257" s="261" t="s">
        <v>145</v>
      </c>
      <c r="J257" s="261" t="s">
        <v>146</v>
      </c>
      <c r="M257" s="262"/>
      <c r="N257" s="262"/>
      <c r="O257" s="262">
        <v>998588.58437178982</v>
      </c>
      <c r="P257" s="262">
        <v>1111326.460110592</v>
      </c>
      <c r="Q257" s="262">
        <v>2044637.4775954355</v>
      </c>
      <c r="R257" s="262">
        <v>2186442.998038406</v>
      </c>
      <c r="S257" s="262">
        <v>2038553.6120077542</v>
      </c>
      <c r="T257" s="262">
        <v>1400991.3084410129</v>
      </c>
      <c r="U257" s="262">
        <v>476023.3668971865</v>
      </c>
      <c r="V257" s="262">
        <v>378191.29638112203</v>
      </c>
      <c r="W257" s="262">
        <v>353320.23640256346</v>
      </c>
      <c r="X257" s="262">
        <v>378564.15704506222</v>
      </c>
      <c r="Y257" s="262">
        <f t="shared" si="4"/>
        <v>11366639.497290924</v>
      </c>
    </row>
    <row r="258" spans="1:25" s="261" customFormat="1" ht="11.25" customHeight="1">
      <c r="A258" s="261">
        <v>2014</v>
      </c>
      <c r="B258" s="261" t="s">
        <v>574</v>
      </c>
      <c r="C258" s="261" t="s">
        <v>92</v>
      </c>
      <c r="D258" s="261" t="s">
        <v>92</v>
      </c>
      <c r="E258" s="261" t="s">
        <v>22</v>
      </c>
      <c r="F258" s="261" t="s">
        <v>235</v>
      </c>
      <c r="G258" s="261" t="s">
        <v>439</v>
      </c>
      <c r="H258" s="261" t="s">
        <v>22</v>
      </c>
      <c r="I258" s="261" t="s">
        <v>145</v>
      </c>
      <c r="J258" s="261" t="s">
        <v>262</v>
      </c>
      <c r="M258" s="262"/>
      <c r="N258" s="262"/>
      <c r="O258" s="262">
        <v>85000</v>
      </c>
      <c r="P258" s="262">
        <v>85000</v>
      </c>
      <c r="Q258" s="262">
        <v>85000</v>
      </c>
      <c r="R258" s="262">
        <v>85000</v>
      </c>
      <c r="S258" s="262">
        <v>45000</v>
      </c>
      <c r="T258" s="262">
        <v>45000</v>
      </c>
      <c r="U258" s="262">
        <v>45000</v>
      </c>
      <c r="V258" s="262">
        <v>40000</v>
      </c>
      <c r="W258" s="262">
        <v>40000</v>
      </c>
      <c r="X258" s="262">
        <v>40000</v>
      </c>
      <c r="Y258" s="262">
        <f t="shared" si="4"/>
        <v>595000</v>
      </c>
    </row>
    <row r="259" spans="1:25" s="261" customFormat="1" ht="11.25" customHeight="1">
      <c r="A259" s="261">
        <v>2014</v>
      </c>
      <c r="B259" s="261" t="s">
        <v>574</v>
      </c>
      <c r="C259" s="261" t="s">
        <v>92</v>
      </c>
      <c r="D259" s="261" t="s">
        <v>92</v>
      </c>
      <c r="E259" s="261" t="s">
        <v>22</v>
      </c>
      <c r="F259" s="261" t="s">
        <v>235</v>
      </c>
      <c r="G259" s="261" t="s">
        <v>439</v>
      </c>
      <c r="H259" s="261" t="s">
        <v>22</v>
      </c>
      <c r="I259" s="261" t="s">
        <v>23</v>
      </c>
      <c r="J259" s="261" t="s">
        <v>263</v>
      </c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</row>
    <row r="260" spans="1:25" s="261" customFormat="1" ht="11.25" customHeight="1">
      <c r="A260" s="261">
        <v>2014</v>
      </c>
      <c r="B260" s="261" t="s">
        <v>573</v>
      </c>
      <c r="C260" s="261" t="s">
        <v>92</v>
      </c>
      <c r="D260" s="261" t="s">
        <v>92</v>
      </c>
      <c r="E260" s="261" t="s">
        <v>149</v>
      </c>
      <c r="F260" s="261" t="s">
        <v>235</v>
      </c>
      <c r="G260" s="261" t="s">
        <v>439</v>
      </c>
      <c r="H260" s="261" t="s">
        <v>149</v>
      </c>
      <c r="I260" s="261" t="s">
        <v>149</v>
      </c>
      <c r="J260" s="261" t="s">
        <v>150</v>
      </c>
      <c r="M260" s="262"/>
      <c r="N260" s="262"/>
      <c r="O260" s="262">
        <v>35298.69</v>
      </c>
      <c r="P260" s="262">
        <v>35790.58</v>
      </c>
      <c r="Q260" s="262">
        <v>35790.58</v>
      </c>
      <c r="R260" s="262">
        <v>35790.58</v>
      </c>
      <c r="S260" s="262">
        <v>35790.58</v>
      </c>
      <c r="T260" s="262">
        <v>35790.58</v>
      </c>
      <c r="U260" s="262">
        <v>31390.33</v>
      </c>
      <c r="V260" s="262">
        <v>25835.64</v>
      </c>
      <c r="W260" s="262">
        <v>25835.64</v>
      </c>
      <c r="X260" s="262">
        <v>25835.64</v>
      </c>
      <c r="Y260" s="262">
        <f t="shared" si="4"/>
        <v>323148.84000000008</v>
      </c>
    </row>
    <row r="261" spans="1:25" s="261" customFormat="1" ht="11.25" customHeight="1">
      <c r="A261" s="261">
        <v>2014</v>
      </c>
      <c r="B261" s="261" t="s">
        <v>573</v>
      </c>
      <c r="C261" s="261" t="s">
        <v>92</v>
      </c>
      <c r="D261" s="261" t="s">
        <v>92</v>
      </c>
      <c r="E261" s="261" t="s">
        <v>18</v>
      </c>
      <c r="F261" s="261" t="s">
        <v>235</v>
      </c>
      <c r="G261" s="261" t="s">
        <v>439</v>
      </c>
      <c r="H261" s="261" t="s">
        <v>18</v>
      </c>
      <c r="I261" s="261" t="s">
        <v>18</v>
      </c>
      <c r="J261" s="261" t="s">
        <v>96</v>
      </c>
      <c r="M261" s="262"/>
      <c r="N261" s="262"/>
      <c r="O261" s="262"/>
      <c r="P261" s="262"/>
      <c r="Q261" s="262"/>
      <c r="R261" s="262"/>
      <c r="S261" s="262"/>
      <c r="T261" s="262"/>
      <c r="U261" s="262"/>
      <c r="V261" s="262">
        <v>1400</v>
      </c>
      <c r="W261" s="262"/>
      <c r="X261" s="262"/>
      <c r="Y261" s="262">
        <f t="shared" si="4"/>
        <v>1400</v>
      </c>
    </row>
    <row r="262" spans="1:25" s="261" customFormat="1" ht="11.25" customHeight="1">
      <c r="A262" s="261">
        <v>2014</v>
      </c>
      <c r="B262" s="261" t="s">
        <v>573</v>
      </c>
      <c r="C262" s="261" t="s">
        <v>92</v>
      </c>
      <c r="D262" s="261" t="s">
        <v>92</v>
      </c>
      <c r="E262" s="261" t="s">
        <v>18</v>
      </c>
      <c r="F262" s="261" t="s">
        <v>235</v>
      </c>
      <c r="G262" s="261" t="s">
        <v>439</v>
      </c>
      <c r="H262" s="261" t="s">
        <v>18</v>
      </c>
      <c r="I262" s="261" t="s">
        <v>18</v>
      </c>
      <c r="J262" s="261" t="s">
        <v>91</v>
      </c>
      <c r="M262" s="262"/>
      <c r="N262" s="262"/>
      <c r="O262" s="262"/>
      <c r="P262" s="262"/>
      <c r="Q262" s="262"/>
      <c r="R262" s="262"/>
      <c r="S262" s="262"/>
      <c r="T262" s="262">
        <v>7400</v>
      </c>
      <c r="U262" s="262"/>
      <c r="V262" s="262"/>
      <c r="W262" s="262"/>
      <c r="X262" s="262"/>
      <c r="Y262" s="262">
        <f t="shared" si="4"/>
        <v>7400</v>
      </c>
    </row>
    <row r="263" spans="1:25" s="261" customFormat="1" ht="11.25" customHeight="1">
      <c r="A263" s="261">
        <v>2014</v>
      </c>
      <c r="B263" s="261" t="s">
        <v>574</v>
      </c>
      <c r="C263" s="261" t="s">
        <v>92</v>
      </c>
      <c r="D263" s="261" t="s">
        <v>92</v>
      </c>
      <c r="E263" s="261" t="s">
        <v>45</v>
      </c>
      <c r="F263" s="261" t="s">
        <v>235</v>
      </c>
      <c r="G263" s="261" t="s">
        <v>439</v>
      </c>
      <c r="H263" s="261" t="s">
        <v>45</v>
      </c>
      <c r="I263" s="261" t="s">
        <v>45</v>
      </c>
      <c r="J263" s="261" t="s">
        <v>46</v>
      </c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>
        <f t="shared" si="4"/>
        <v>0</v>
      </c>
    </row>
    <row r="264" spans="1:25" s="261" customFormat="1" ht="11.25" customHeight="1">
      <c r="A264" s="261">
        <v>2014</v>
      </c>
      <c r="B264" s="261" t="s">
        <v>574</v>
      </c>
      <c r="C264" s="261" t="s">
        <v>92</v>
      </c>
      <c r="D264" s="261" t="s">
        <v>92</v>
      </c>
      <c r="E264" s="261" t="s">
        <v>45</v>
      </c>
      <c r="F264" s="261" t="s">
        <v>235</v>
      </c>
      <c r="G264" s="261" t="s">
        <v>439</v>
      </c>
      <c r="H264" s="261" t="s">
        <v>45</v>
      </c>
      <c r="I264" s="261" t="s">
        <v>45</v>
      </c>
      <c r="J264" s="261" t="s">
        <v>218</v>
      </c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>
        <f t="shared" si="4"/>
        <v>0</v>
      </c>
    </row>
    <row r="265" spans="1:25" s="261" customFormat="1" ht="11.25" customHeight="1">
      <c r="A265" s="261">
        <v>2014</v>
      </c>
      <c r="B265" s="261" t="s">
        <v>573</v>
      </c>
      <c r="C265" s="261" t="s">
        <v>92</v>
      </c>
      <c r="D265" s="261" t="s">
        <v>92</v>
      </c>
      <c r="E265" s="261" t="s">
        <v>29</v>
      </c>
      <c r="F265" s="261" t="s">
        <v>235</v>
      </c>
      <c r="G265" s="261" t="s">
        <v>439</v>
      </c>
      <c r="H265" s="261" t="s">
        <v>29</v>
      </c>
      <c r="I265" s="261" t="s">
        <v>29</v>
      </c>
      <c r="J265" s="261" t="s">
        <v>30</v>
      </c>
      <c r="M265" s="262"/>
      <c r="N265" s="262"/>
      <c r="O265" s="262">
        <v>4550</v>
      </c>
      <c r="P265" s="262">
        <v>3500</v>
      </c>
      <c r="Q265" s="262">
        <v>3500</v>
      </c>
      <c r="R265" s="262">
        <v>3500</v>
      </c>
      <c r="S265" s="262">
        <v>3500</v>
      </c>
      <c r="T265" s="262">
        <v>3500</v>
      </c>
      <c r="U265" s="262">
        <v>4550</v>
      </c>
      <c r="V265" s="262">
        <v>4550</v>
      </c>
      <c r="W265" s="262">
        <v>4550</v>
      </c>
      <c r="X265" s="262">
        <v>4550</v>
      </c>
      <c r="Y265" s="262">
        <f t="shared" si="4"/>
        <v>40250</v>
      </c>
    </row>
    <row r="266" spans="1:25" s="261" customFormat="1" ht="11.25" customHeight="1">
      <c r="A266" s="261">
        <v>2014</v>
      </c>
      <c r="B266" s="261" t="s">
        <v>573</v>
      </c>
      <c r="C266" s="261" t="s">
        <v>92</v>
      </c>
      <c r="D266" s="261" t="s">
        <v>92</v>
      </c>
      <c r="E266" s="261" t="s">
        <v>148</v>
      </c>
      <c r="F266" s="261" t="s">
        <v>93</v>
      </c>
      <c r="G266" s="261" t="s">
        <v>439</v>
      </c>
      <c r="H266" s="261" t="s">
        <v>148</v>
      </c>
      <c r="I266" s="261" t="s">
        <v>148</v>
      </c>
      <c r="J266" s="261" t="s">
        <v>148</v>
      </c>
      <c r="M266" s="262"/>
      <c r="N266" s="262"/>
      <c r="O266" s="262">
        <v>52796</v>
      </c>
      <c r="P266" s="262">
        <v>52796</v>
      </c>
      <c r="Q266" s="262">
        <v>56872</v>
      </c>
      <c r="R266" s="262">
        <v>56872</v>
      </c>
      <c r="S266" s="262">
        <v>56872</v>
      </c>
      <c r="T266" s="262">
        <v>56872</v>
      </c>
      <c r="U266" s="262">
        <v>49556</v>
      </c>
      <c r="V266" s="262">
        <v>43494</v>
      </c>
      <c r="W266" s="262">
        <v>43494</v>
      </c>
      <c r="X266" s="262">
        <v>43494</v>
      </c>
      <c r="Y266" s="262">
        <f t="shared" si="4"/>
        <v>513118</v>
      </c>
    </row>
    <row r="267" spans="1:25" s="261" customFormat="1" ht="11.25" customHeight="1">
      <c r="A267" s="261">
        <v>2014</v>
      </c>
      <c r="B267" s="261" t="s">
        <v>573</v>
      </c>
      <c r="C267" s="261" t="s">
        <v>92</v>
      </c>
      <c r="D267" s="261" t="s">
        <v>92</v>
      </c>
      <c r="E267" s="261" t="s">
        <v>22</v>
      </c>
      <c r="F267" s="261" t="s">
        <v>93</v>
      </c>
      <c r="G267" s="261" t="s">
        <v>439</v>
      </c>
      <c r="H267" s="261" t="s">
        <v>22</v>
      </c>
      <c r="I267" s="261" t="s">
        <v>132</v>
      </c>
      <c r="J267" s="261" t="s">
        <v>336</v>
      </c>
      <c r="M267" s="262"/>
      <c r="N267" s="262"/>
      <c r="O267" s="262">
        <v>98649.000000000015</v>
      </c>
      <c r="P267" s="262">
        <v>100145.70000000001</v>
      </c>
      <c r="Q267" s="262">
        <v>106602.30000000002</v>
      </c>
      <c r="R267" s="262">
        <v>99391.500000000015</v>
      </c>
      <c r="S267" s="262">
        <v>102010.50000000001</v>
      </c>
      <c r="T267" s="262">
        <v>94653.000000000015</v>
      </c>
      <c r="U267" s="262">
        <v>98012.700000000012</v>
      </c>
      <c r="V267" s="262">
        <v>92036.700000000012</v>
      </c>
      <c r="W267" s="262">
        <v>76895.100000000006</v>
      </c>
      <c r="X267" s="262">
        <v>76491.900000000009</v>
      </c>
      <c r="Y267" s="262">
        <f t="shared" si="4"/>
        <v>944888.39999999991</v>
      </c>
    </row>
    <row r="268" spans="1:25" s="261" customFormat="1" ht="11.25" customHeight="1">
      <c r="A268" s="261">
        <v>2014</v>
      </c>
      <c r="B268" s="261" t="s">
        <v>573</v>
      </c>
      <c r="C268" s="261" t="s">
        <v>92</v>
      </c>
      <c r="D268" s="261" t="s">
        <v>92</v>
      </c>
      <c r="E268" s="261" t="s">
        <v>149</v>
      </c>
      <c r="F268" s="261" t="s">
        <v>93</v>
      </c>
      <c r="G268" s="261" t="s">
        <v>439</v>
      </c>
      <c r="H268" s="261" t="s">
        <v>149</v>
      </c>
      <c r="I268" s="261" t="s">
        <v>149</v>
      </c>
      <c r="J268" s="261" t="s">
        <v>150</v>
      </c>
      <c r="M268" s="262"/>
      <c r="N268" s="262"/>
      <c r="O268" s="262">
        <v>14412.46</v>
      </c>
      <c r="P268" s="262">
        <v>14412.46</v>
      </c>
      <c r="Q268" s="262">
        <v>15853.55</v>
      </c>
      <c r="R268" s="262">
        <v>15853.55</v>
      </c>
      <c r="S268" s="262">
        <v>15853.55</v>
      </c>
      <c r="T268" s="262">
        <v>15853.55</v>
      </c>
      <c r="U268" s="262">
        <v>13536.49</v>
      </c>
      <c r="V268" s="262">
        <v>11615.03</v>
      </c>
      <c r="W268" s="262">
        <v>11615.03</v>
      </c>
      <c r="X268" s="262">
        <v>11615.03</v>
      </c>
      <c r="Y268" s="262">
        <f t="shared" si="4"/>
        <v>140620.70000000001</v>
      </c>
    </row>
    <row r="269" spans="1:25" s="261" customFormat="1" ht="11.25" customHeight="1">
      <c r="A269" s="261">
        <v>2014</v>
      </c>
      <c r="B269" s="261" t="s">
        <v>573</v>
      </c>
      <c r="C269" s="261" t="s">
        <v>92</v>
      </c>
      <c r="D269" s="261" t="s">
        <v>92</v>
      </c>
      <c r="E269" s="261" t="s">
        <v>18</v>
      </c>
      <c r="F269" s="261" t="s">
        <v>93</v>
      </c>
      <c r="G269" s="261" t="s">
        <v>439</v>
      </c>
      <c r="H269" s="261" t="s">
        <v>18</v>
      </c>
      <c r="I269" s="261" t="s">
        <v>18</v>
      </c>
      <c r="J269" s="261" t="s">
        <v>96</v>
      </c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>
        <f t="shared" si="4"/>
        <v>0</v>
      </c>
    </row>
    <row r="270" spans="1:25" s="261" customFormat="1" ht="11.25" customHeight="1">
      <c r="A270" s="261">
        <v>2014</v>
      </c>
      <c r="B270" s="261" t="s">
        <v>573</v>
      </c>
      <c r="C270" s="261" t="s">
        <v>92</v>
      </c>
      <c r="D270" s="261" t="s">
        <v>92</v>
      </c>
      <c r="E270" s="261" t="s">
        <v>18</v>
      </c>
      <c r="F270" s="261" t="s">
        <v>93</v>
      </c>
      <c r="G270" s="261" t="s">
        <v>439</v>
      </c>
      <c r="H270" s="261" t="s">
        <v>18</v>
      </c>
      <c r="I270" s="261" t="s">
        <v>18</v>
      </c>
      <c r="J270" s="261" t="s">
        <v>91</v>
      </c>
      <c r="M270" s="262"/>
      <c r="N270" s="262"/>
      <c r="O270" s="262">
        <v>350</v>
      </c>
      <c r="P270" s="262">
        <v>150</v>
      </c>
      <c r="Q270" s="262">
        <v>150</v>
      </c>
      <c r="R270" s="262">
        <v>150</v>
      </c>
      <c r="S270" s="262">
        <v>150</v>
      </c>
      <c r="T270" s="262">
        <v>150</v>
      </c>
      <c r="U270" s="262">
        <v>4500</v>
      </c>
      <c r="V270" s="262">
        <v>150</v>
      </c>
      <c r="W270" s="262">
        <v>150</v>
      </c>
      <c r="X270" s="262">
        <v>150</v>
      </c>
      <c r="Y270" s="262">
        <f t="shared" si="4"/>
        <v>6050</v>
      </c>
    </row>
    <row r="271" spans="1:25" s="261" customFormat="1" ht="11.25" customHeight="1">
      <c r="A271" s="261">
        <v>2014</v>
      </c>
      <c r="B271" s="261" t="s">
        <v>573</v>
      </c>
      <c r="C271" s="261" t="s">
        <v>92</v>
      </c>
      <c r="D271" s="261" t="s">
        <v>92</v>
      </c>
      <c r="E271" s="261" t="s">
        <v>138</v>
      </c>
      <c r="F271" s="261" t="s">
        <v>93</v>
      </c>
      <c r="G271" s="261" t="s">
        <v>439</v>
      </c>
      <c r="H271" s="261" t="s">
        <v>138</v>
      </c>
      <c r="I271" s="261" t="s">
        <v>138</v>
      </c>
      <c r="J271" s="261" t="s">
        <v>419</v>
      </c>
      <c r="M271" s="262"/>
      <c r="N271" s="262"/>
      <c r="O271" s="262">
        <v>2000</v>
      </c>
      <c r="P271" s="262"/>
      <c r="Q271" s="262">
        <v>1100</v>
      </c>
      <c r="R271" s="262"/>
      <c r="S271" s="262"/>
      <c r="T271" s="262">
        <v>600</v>
      </c>
      <c r="U271" s="262"/>
      <c r="V271" s="262">
        <v>1200</v>
      </c>
      <c r="W271" s="262">
        <v>300</v>
      </c>
      <c r="X271" s="262"/>
      <c r="Y271" s="262">
        <f t="shared" si="4"/>
        <v>5200</v>
      </c>
    </row>
    <row r="272" spans="1:25" s="261" customFormat="1" ht="11.25" customHeight="1">
      <c r="A272" s="261">
        <v>2014</v>
      </c>
      <c r="B272" s="261" t="s">
        <v>573</v>
      </c>
      <c r="C272" s="261" t="s">
        <v>92</v>
      </c>
      <c r="D272" s="261" t="s">
        <v>92</v>
      </c>
      <c r="E272" s="261" t="s">
        <v>138</v>
      </c>
      <c r="F272" s="261" t="s">
        <v>93</v>
      </c>
      <c r="G272" s="261" t="s">
        <v>439</v>
      </c>
      <c r="H272" s="261" t="s">
        <v>138</v>
      </c>
      <c r="I272" s="261" t="s">
        <v>139</v>
      </c>
      <c r="J272" s="261" t="s">
        <v>140</v>
      </c>
      <c r="M272" s="262"/>
      <c r="N272" s="262"/>
      <c r="O272" s="262">
        <v>20000</v>
      </c>
      <c r="P272" s="262">
        <v>20000</v>
      </c>
      <c r="Q272" s="262">
        <v>20000</v>
      </c>
      <c r="R272" s="262">
        <v>20000</v>
      </c>
      <c r="S272" s="262">
        <v>20000</v>
      </c>
      <c r="T272" s="262">
        <v>20000</v>
      </c>
      <c r="U272" s="262">
        <v>20000</v>
      </c>
      <c r="V272" s="262">
        <v>20000</v>
      </c>
      <c r="W272" s="262">
        <v>20000</v>
      </c>
      <c r="X272" s="262">
        <v>20000</v>
      </c>
      <c r="Y272" s="262">
        <f t="shared" si="4"/>
        <v>200000</v>
      </c>
    </row>
    <row r="273" spans="1:25" s="261" customFormat="1" ht="11.25" customHeight="1">
      <c r="A273" s="261">
        <v>2014</v>
      </c>
      <c r="B273" s="261" t="s">
        <v>573</v>
      </c>
      <c r="C273" s="261" t="s">
        <v>92</v>
      </c>
      <c r="D273" s="261" t="s">
        <v>92</v>
      </c>
      <c r="E273" s="261" t="s">
        <v>138</v>
      </c>
      <c r="F273" s="261" t="s">
        <v>93</v>
      </c>
      <c r="G273" s="261" t="s">
        <v>439</v>
      </c>
      <c r="H273" s="261" t="s">
        <v>138</v>
      </c>
      <c r="I273" s="261" t="s">
        <v>139</v>
      </c>
      <c r="J273" s="261" t="s">
        <v>337</v>
      </c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>
        <f t="shared" si="4"/>
        <v>0</v>
      </c>
    </row>
    <row r="274" spans="1:25" s="261" customFormat="1" ht="11.25" customHeight="1">
      <c r="A274" s="261">
        <v>2014</v>
      </c>
      <c r="B274" s="261" t="s">
        <v>573</v>
      </c>
      <c r="C274" s="261" t="s">
        <v>92</v>
      </c>
      <c r="D274" s="261" t="s">
        <v>92</v>
      </c>
      <c r="E274" s="261" t="s">
        <v>29</v>
      </c>
      <c r="F274" s="261" t="s">
        <v>93</v>
      </c>
      <c r="G274" s="261" t="s">
        <v>439</v>
      </c>
      <c r="H274" s="261" t="s">
        <v>29</v>
      </c>
      <c r="I274" s="261" t="s">
        <v>29</v>
      </c>
      <c r="J274" s="261" t="s">
        <v>31</v>
      </c>
      <c r="M274" s="262"/>
      <c r="N274" s="262"/>
      <c r="O274" s="262">
        <v>2000</v>
      </c>
      <c r="P274" s="262"/>
      <c r="Q274" s="262"/>
      <c r="R274" s="262"/>
      <c r="S274" s="262"/>
      <c r="T274" s="262"/>
      <c r="U274" s="262"/>
      <c r="V274" s="262"/>
      <c r="W274" s="262"/>
      <c r="X274" s="262"/>
      <c r="Y274" s="262">
        <f t="shared" si="4"/>
        <v>2000</v>
      </c>
    </row>
    <row r="275" spans="1:25" s="261" customFormat="1" ht="11.25" customHeight="1">
      <c r="A275" s="261">
        <v>2014</v>
      </c>
      <c r="B275" s="261" t="s">
        <v>573</v>
      </c>
      <c r="C275" s="261" t="s">
        <v>92</v>
      </c>
      <c r="D275" s="261" t="s">
        <v>92</v>
      </c>
      <c r="E275" s="261" t="s">
        <v>29</v>
      </c>
      <c r="F275" s="261" t="s">
        <v>93</v>
      </c>
      <c r="G275" s="261" t="s">
        <v>439</v>
      </c>
      <c r="H275" s="261" t="s">
        <v>29</v>
      </c>
      <c r="I275" s="261" t="s">
        <v>29</v>
      </c>
      <c r="J275" s="261" t="s">
        <v>30</v>
      </c>
      <c r="M275" s="262"/>
      <c r="N275" s="262"/>
      <c r="O275" s="262">
        <v>100</v>
      </c>
      <c r="P275" s="262">
        <v>100</v>
      </c>
      <c r="Q275" s="262">
        <v>100</v>
      </c>
      <c r="R275" s="262">
        <v>100</v>
      </c>
      <c r="S275" s="262">
        <v>100</v>
      </c>
      <c r="T275" s="262">
        <v>100</v>
      </c>
      <c r="U275" s="262">
        <v>100</v>
      </c>
      <c r="V275" s="262">
        <v>100</v>
      </c>
      <c r="W275" s="262">
        <v>100</v>
      </c>
      <c r="X275" s="262">
        <v>100</v>
      </c>
      <c r="Y275" s="262">
        <f>SUM(M275:X275)</f>
        <v>1000</v>
      </c>
    </row>
    <row r="276" spans="1:25" s="261" customFormat="1" ht="11.25" customHeight="1">
      <c r="A276" s="261">
        <v>2014</v>
      </c>
      <c r="B276" s="261" t="s">
        <v>573</v>
      </c>
      <c r="C276" s="261" t="s">
        <v>92</v>
      </c>
      <c r="D276" s="261" t="s">
        <v>92</v>
      </c>
      <c r="E276" s="261" t="s">
        <v>138</v>
      </c>
      <c r="F276" s="261" t="s">
        <v>130</v>
      </c>
      <c r="G276" s="261" t="s">
        <v>439</v>
      </c>
      <c r="H276" s="261" t="s">
        <v>138</v>
      </c>
      <c r="I276" s="261" t="s">
        <v>138</v>
      </c>
      <c r="J276" s="261" t="s">
        <v>419</v>
      </c>
      <c r="M276" s="262"/>
      <c r="N276" s="262"/>
      <c r="O276" s="262"/>
      <c r="P276" s="262"/>
      <c r="Q276" s="262">
        <f>5200+2400</f>
        <v>7600</v>
      </c>
      <c r="R276" s="262"/>
      <c r="S276" s="262"/>
      <c r="T276" s="262"/>
      <c r="U276" s="262"/>
      <c r="V276" s="262"/>
      <c r="W276" s="262"/>
      <c r="X276" s="262"/>
      <c r="Y276" s="262">
        <f>SUM(M276:X276)</f>
        <v>7600</v>
      </c>
    </row>
    <row r="277" spans="1:25" s="261" customFormat="1" ht="11.25" customHeight="1">
      <c r="A277" s="261">
        <v>2014</v>
      </c>
      <c r="B277" s="261" t="s">
        <v>573</v>
      </c>
      <c r="C277" s="261" t="s">
        <v>32</v>
      </c>
      <c r="D277" s="9" t="s">
        <v>32</v>
      </c>
      <c r="E277" s="261" t="s">
        <v>25</v>
      </c>
      <c r="F277" s="261" t="s">
        <v>168</v>
      </c>
      <c r="G277" s="9" t="s">
        <v>442</v>
      </c>
      <c r="H277" s="9" t="s">
        <v>25</v>
      </c>
      <c r="I277" s="9" t="s">
        <v>25</v>
      </c>
      <c r="J277" s="9" t="s">
        <v>36</v>
      </c>
      <c r="M277" s="262">
        <v>4557</v>
      </c>
      <c r="N277" s="262">
        <v>4557</v>
      </c>
      <c r="O277" s="262">
        <v>4557</v>
      </c>
      <c r="P277" s="262">
        <v>4557</v>
      </c>
      <c r="Q277" s="262">
        <v>4557</v>
      </c>
      <c r="R277" s="262">
        <v>4557</v>
      </c>
      <c r="S277" s="262">
        <v>4557</v>
      </c>
      <c r="T277" s="262">
        <v>4557</v>
      </c>
      <c r="U277" s="262">
        <v>4557</v>
      </c>
      <c r="V277" s="262">
        <v>4557</v>
      </c>
      <c r="W277" s="262">
        <v>4557</v>
      </c>
      <c r="X277" s="262">
        <v>4557</v>
      </c>
      <c r="Y277" s="262">
        <f t="shared" ref="Y277:Y321" si="5">SUM(M277:X277)</f>
        <v>54684</v>
      </c>
    </row>
    <row r="278" spans="1:25" s="261" customFormat="1" ht="11.25" customHeight="1">
      <c r="A278" s="261">
        <v>2014</v>
      </c>
      <c r="B278" s="261" t="s">
        <v>573</v>
      </c>
      <c r="C278" s="261" t="s">
        <v>32</v>
      </c>
      <c r="D278" s="9" t="s">
        <v>32</v>
      </c>
      <c r="E278" s="261" t="s">
        <v>25</v>
      </c>
      <c r="F278" s="261" t="s">
        <v>168</v>
      </c>
      <c r="G278" s="9" t="s">
        <v>442</v>
      </c>
      <c r="H278" s="9" t="s">
        <v>25</v>
      </c>
      <c r="I278" s="9" t="s">
        <v>25</v>
      </c>
      <c r="J278" s="9" t="s">
        <v>26</v>
      </c>
      <c r="M278" s="262">
        <v>2365</v>
      </c>
      <c r="N278" s="262">
        <v>2365</v>
      </c>
      <c r="O278" s="262">
        <v>2365</v>
      </c>
      <c r="P278" s="262">
        <v>2365</v>
      </c>
      <c r="Q278" s="262">
        <v>2365</v>
      </c>
      <c r="R278" s="262">
        <v>2365</v>
      </c>
      <c r="S278" s="262">
        <v>2365</v>
      </c>
      <c r="T278" s="262">
        <v>2365</v>
      </c>
      <c r="U278" s="262">
        <v>2365</v>
      </c>
      <c r="V278" s="262">
        <v>2365</v>
      </c>
      <c r="W278" s="262">
        <v>2365</v>
      </c>
      <c r="X278" s="262">
        <v>2365</v>
      </c>
      <c r="Y278" s="262">
        <f t="shared" si="5"/>
        <v>28380</v>
      </c>
    </row>
    <row r="279" spans="1:25" s="261" customFormat="1" ht="11.25" customHeight="1">
      <c r="A279" s="261">
        <v>2014</v>
      </c>
      <c r="B279" s="261" t="s">
        <v>573</v>
      </c>
      <c r="C279" s="261" t="s">
        <v>32</v>
      </c>
      <c r="D279" s="9" t="s">
        <v>32</v>
      </c>
      <c r="E279" s="261" t="s">
        <v>148</v>
      </c>
      <c r="F279" s="261" t="s">
        <v>168</v>
      </c>
      <c r="G279" s="9" t="s">
        <v>442</v>
      </c>
      <c r="H279" s="9" t="s">
        <v>148</v>
      </c>
      <c r="I279" s="9" t="s">
        <v>148</v>
      </c>
      <c r="J279" s="9" t="s">
        <v>148</v>
      </c>
      <c r="M279" s="262">
        <v>69500</v>
      </c>
      <c r="N279" s="262">
        <v>69500</v>
      </c>
      <c r="O279" s="262">
        <v>69500</v>
      </c>
      <c r="P279" s="262">
        <v>72700</v>
      </c>
      <c r="Q279" s="262">
        <v>72700</v>
      </c>
      <c r="R279" s="262">
        <v>72700</v>
      </c>
      <c r="S279" s="262">
        <v>72700</v>
      </c>
      <c r="T279" s="262">
        <v>72700</v>
      </c>
      <c r="U279" s="262">
        <v>72700</v>
      </c>
      <c r="V279" s="262">
        <v>72700</v>
      </c>
      <c r="W279" s="262">
        <v>72700</v>
      </c>
      <c r="X279" s="262">
        <v>72700</v>
      </c>
      <c r="Y279" s="262">
        <f t="shared" si="5"/>
        <v>862800</v>
      </c>
    </row>
    <row r="280" spans="1:25" s="261" customFormat="1" ht="11.25" customHeight="1">
      <c r="A280" s="261">
        <v>2014</v>
      </c>
      <c r="B280" s="261" t="s">
        <v>573</v>
      </c>
      <c r="C280" s="261" t="s">
        <v>32</v>
      </c>
      <c r="D280" s="9" t="s">
        <v>32</v>
      </c>
      <c r="E280" s="261" t="s">
        <v>37</v>
      </c>
      <c r="F280" s="261" t="s">
        <v>168</v>
      </c>
      <c r="G280" s="9" t="s">
        <v>442</v>
      </c>
      <c r="H280" s="9" t="s">
        <v>37</v>
      </c>
      <c r="I280" s="9" t="s">
        <v>37</v>
      </c>
      <c r="J280" s="9" t="s">
        <v>37</v>
      </c>
      <c r="K280" s="261" t="s">
        <v>169</v>
      </c>
      <c r="M280" s="262">
        <v>600</v>
      </c>
      <c r="N280" s="262">
        <v>600</v>
      </c>
      <c r="O280" s="262">
        <v>600</v>
      </c>
      <c r="P280" s="262">
        <v>600</v>
      </c>
      <c r="Q280" s="262">
        <v>600</v>
      </c>
      <c r="R280" s="262">
        <v>600</v>
      </c>
      <c r="S280" s="262">
        <v>600</v>
      </c>
      <c r="T280" s="262">
        <v>600</v>
      </c>
      <c r="U280" s="262">
        <v>600</v>
      </c>
      <c r="V280" s="262">
        <v>600</v>
      </c>
      <c r="W280" s="262">
        <v>600</v>
      </c>
      <c r="X280" s="262">
        <v>600</v>
      </c>
      <c r="Y280" s="262">
        <f t="shared" si="5"/>
        <v>7200</v>
      </c>
    </row>
    <row r="281" spans="1:25" s="261" customFormat="1" ht="11.25" customHeight="1">
      <c r="A281" s="261">
        <v>2014</v>
      </c>
      <c r="B281" s="261" t="s">
        <v>573</v>
      </c>
      <c r="C281" s="261" t="s">
        <v>32</v>
      </c>
      <c r="D281" s="9" t="s">
        <v>32</v>
      </c>
      <c r="E281" s="261" t="s">
        <v>27</v>
      </c>
      <c r="F281" s="261" t="s">
        <v>168</v>
      </c>
      <c r="G281" s="9" t="s">
        <v>442</v>
      </c>
      <c r="H281" s="9" t="s">
        <v>27</v>
      </c>
      <c r="I281" s="9" t="s">
        <v>27</v>
      </c>
      <c r="J281" s="9" t="s">
        <v>28</v>
      </c>
      <c r="M281" s="262">
        <v>250</v>
      </c>
      <c r="N281" s="262">
        <v>250</v>
      </c>
      <c r="O281" s="262">
        <v>250</v>
      </c>
      <c r="P281" s="262">
        <v>250</v>
      </c>
      <c r="Q281" s="262">
        <v>250</v>
      </c>
      <c r="R281" s="262">
        <v>250</v>
      </c>
      <c r="S281" s="262">
        <v>250</v>
      </c>
      <c r="T281" s="262">
        <v>250</v>
      </c>
      <c r="U281" s="262">
        <v>250</v>
      </c>
      <c r="V281" s="262">
        <v>250</v>
      </c>
      <c r="W281" s="262">
        <v>250</v>
      </c>
      <c r="X281" s="262">
        <v>250</v>
      </c>
      <c r="Y281" s="262">
        <f t="shared" si="5"/>
        <v>3000</v>
      </c>
    </row>
    <row r="282" spans="1:25" s="261" customFormat="1" ht="11.25" customHeight="1">
      <c r="A282" s="261">
        <v>2014</v>
      </c>
      <c r="B282" s="261" t="s">
        <v>573</v>
      </c>
      <c r="C282" s="261" t="s">
        <v>32</v>
      </c>
      <c r="D282" s="9" t="s">
        <v>32</v>
      </c>
      <c r="E282" s="261" t="s">
        <v>27</v>
      </c>
      <c r="F282" s="261" t="s">
        <v>168</v>
      </c>
      <c r="G282" s="9" t="s">
        <v>442</v>
      </c>
      <c r="H282" s="9" t="s">
        <v>27</v>
      </c>
      <c r="I282" s="9" t="s">
        <v>27</v>
      </c>
      <c r="J282" s="9" t="s">
        <v>60</v>
      </c>
      <c r="M282" s="262">
        <v>250</v>
      </c>
      <c r="N282" s="262">
        <v>250</v>
      </c>
      <c r="O282" s="262">
        <v>250</v>
      </c>
      <c r="P282" s="262">
        <v>250</v>
      </c>
      <c r="Q282" s="262">
        <v>250</v>
      </c>
      <c r="R282" s="262">
        <v>250</v>
      </c>
      <c r="S282" s="262">
        <v>250</v>
      </c>
      <c r="T282" s="262">
        <v>250</v>
      </c>
      <c r="U282" s="262">
        <v>250</v>
      </c>
      <c r="V282" s="262">
        <v>250</v>
      </c>
      <c r="W282" s="262">
        <v>250</v>
      </c>
      <c r="X282" s="262">
        <v>250</v>
      </c>
      <c r="Y282" s="262">
        <f t="shared" si="5"/>
        <v>3000</v>
      </c>
    </row>
    <row r="283" spans="1:25" s="261" customFormat="1" ht="11.25" customHeight="1">
      <c r="A283" s="261">
        <v>2014</v>
      </c>
      <c r="B283" s="261" t="s">
        <v>573</v>
      </c>
      <c r="C283" s="261" t="s">
        <v>32</v>
      </c>
      <c r="D283" s="9" t="s">
        <v>54</v>
      </c>
      <c r="E283" s="261" t="s">
        <v>55</v>
      </c>
      <c r="F283" s="261" t="s">
        <v>168</v>
      </c>
      <c r="G283" s="9" t="s">
        <v>442</v>
      </c>
      <c r="H283" s="9" t="s">
        <v>54</v>
      </c>
      <c r="I283" s="9" t="s">
        <v>55</v>
      </c>
      <c r="J283" s="9" t="s">
        <v>56</v>
      </c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>
        <f t="shared" si="5"/>
        <v>0</v>
      </c>
    </row>
    <row r="284" spans="1:25" s="261" customFormat="1" ht="11.25" customHeight="1">
      <c r="A284" s="261">
        <v>2014</v>
      </c>
      <c r="B284" s="261" t="s">
        <v>573</v>
      </c>
      <c r="C284" s="261" t="s">
        <v>32</v>
      </c>
      <c r="D284" s="9" t="s">
        <v>32</v>
      </c>
      <c r="E284" s="261" t="s">
        <v>149</v>
      </c>
      <c r="F284" s="261" t="s">
        <v>168</v>
      </c>
      <c r="G284" s="9" t="s">
        <v>442</v>
      </c>
      <c r="H284" s="9" t="s">
        <v>149</v>
      </c>
      <c r="I284" s="9" t="s">
        <v>149</v>
      </c>
      <c r="J284" s="9" t="s">
        <v>150</v>
      </c>
      <c r="M284" s="262">
        <v>8308.61</v>
      </c>
      <c r="N284" s="262">
        <v>8308.61</v>
      </c>
      <c r="O284" s="262">
        <v>8308.61</v>
      </c>
      <c r="P284" s="262">
        <v>8820.58</v>
      </c>
      <c r="Q284" s="262">
        <v>8820.58</v>
      </c>
      <c r="R284" s="262">
        <v>8820.58</v>
      </c>
      <c r="S284" s="262">
        <v>8820.58</v>
      </c>
      <c r="T284" s="262">
        <v>8820.58</v>
      </c>
      <c r="U284" s="262">
        <v>8820.58</v>
      </c>
      <c r="V284" s="262">
        <v>8820.58</v>
      </c>
      <c r="W284" s="262">
        <v>8820.58</v>
      </c>
      <c r="X284" s="262">
        <v>8820.58</v>
      </c>
      <c r="Y284" s="262">
        <f t="shared" si="5"/>
        <v>104311.05000000002</v>
      </c>
    </row>
    <row r="285" spans="1:25" s="261" customFormat="1" ht="11.25" customHeight="1">
      <c r="A285" s="261">
        <v>2014</v>
      </c>
      <c r="B285" s="261" t="s">
        <v>573</v>
      </c>
      <c r="C285" s="261" t="s">
        <v>32</v>
      </c>
      <c r="D285" s="9" t="s">
        <v>32</v>
      </c>
      <c r="E285" s="261" t="s">
        <v>18</v>
      </c>
      <c r="F285" s="261" t="s">
        <v>168</v>
      </c>
      <c r="G285" s="9" t="s">
        <v>442</v>
      </c>
      <c r="H285" s="9" t="s">
        <v>18</v>
      </c>
      <c r="I285" s="9" t="s">
        <v>18</v>
      </c>
      <c r="J285" s="9" t="s">
        <v>43</v>
      </c>
      <c r="K285" s="261" t="s">
        <v>169</v>
      </c>
      <c r="M285" s="262">
        <v>1600</v>
      </c>
      <c r="N285" s="262">
        <v>1600</v>
      </c>
      <c r="O285" s="262">
        <v>1600</v>
      </c>
      <c r="P285" s="262">
        <v>1600</v>
      </c>
      <c r="Q285" s="262">
        <v>1600</v>
      </c>
      <c r="R285" s="262">
        <v>1600</v>
      </c>
      <c r="S285" s="262">
        <v>1600</v>
      </c>
      <c r="T285" s="262">
        <v>1600</v>
      </c>
      <c r="U285" s="262">
        <v>1600</v>
      </c>
      <c r="V285" s="262">
        <v>1600</v>
      </c>
      <c r="W285" s="262">
        <v>1600</v>
      </c>
      <c r="X285" s="262">
        <v>1600</v>
      </c>
      <c r="Y285" s="262">
        <f t="shared" si="5"/>
        <v>19200</v>
      </c>
    </row>
    <row r="286" spans="1:25" s="261" customFormat="1" ht="11.25" customHeight="1">
      <c r="A286" s="261">
        <v>2014</v>
      </c>
      <c r="B286" s="261" t="s">
        <v>573</v>
      </c>
      <c r="C286" s="261" t="s">
        <v>32</v>
      </c>
      <c r="D286" s="9" t="s">
        <v>32</v>
      </c>
      <c r="E286" s="261" t="s">
        <v>18</v>
      </c>
      <c r="F286" s="261" t="s">
        <v>168</v>
      </c>
      <c r="G286" s="9" t="s">
        <v>442</v>
      </c>
      <c r="H286" s="9" t="s">
        <v>18</v>
      </c>
      <c r="I286" s="9" t="s">
        <v>18</v>
      </c>
      <c r="J286" s="9" t="s">
        <v>44</v>
      </c>
      <c r="K286" s="261" t="s">
        <v>181</v>
      </c>
      <c r="M286" s="262">
        <v>415</v>
      </c>
      <c r="N286" s="262">
        <v>415</v>
      </c>
      <c r="O286" s="262">
        <v>415</v>
      </c>
      <c r="P286" s="262">
        <v>415</v>
      </c>
      <c r="Q286" s="262">
        <v>415</v>
      </c>
      <c r="R286" s="262">
        <v>415</v>
      </c>
      <c r="S286" s="262">
        <v>415</v>
      </c>
      <c r="T286" s="262">
        <v>415</v>
      </c>
      <c r="U286" s="262">
        <v>415</v>
      </c>
      <c r="V286" s="262">
        <v>415</v>
      </c>
      <c r="W286" s="262">
        <v>415</v>
      </c>
      <c r="X286" s="262">
        <v>415</v>
      </c>
      <c r="Y286" s="262">
        <f t="shared" si="5"/>
        <v>4980</v>
      </c>
    </row>
    <row r="287" spans="1:25" s="261" customFormat="1" ht="11.25" customHeight="1">
      <c r="A287" s="261">
        <v>2014</v>
      </c>
      <c r="B287" s="261" t="s">
        <v>573</v>
      </c>
      <c r="C287" s="261" t="s">
        <v>32</v>
      </c>
      <c r="D287" s="9" t="s">
        <v>32</v>
      </c>
      <c r="E287" s="261" t="s">
        <v>18</v>
      </c>
      <c r="F287" s="261" t="s">
        <v>168</v>
      </c>
      <c r="G287" s="9" t="s">
        <v>442</v>
      </c>
      <c r="H287" s="9" t="s">
        <v>18</v>
      </c>
      <c r="I287" s="9" t="s">
        <v>18</v>
      </c>
      <c r="J287" s="9" t="s">
        <v>44</v>
      </c>
      <c r="K287" s="261" t="s">
        <v>175</v>
      </c>
      <c r="M287" s="262">
        <v>540</v>
      </c>
      <c r="N287" s="262">
        <v>540</v>
      </c>
      <c r="O287" s="262">
        <v>540</v>
      </c>
      <c r="P287" s="262">
        <v>540</v>
      </c>
      <c r="Q287" s="262">
        <v>540</v>
      </c>
      <c r="R287" s="262">
        <v>540</v>
      </c>
      <c r="S287" s="262">
        <v>540</v>
      </c>
      <c r="T287" s="262">
        <v>540</v>
      </c>
      <c r="U287" s="262">
        <v>540</v>
      </c>
      <c r="V287" s="262">
        <v>540</v>
      </c>
      <c r="W287" s="262">
        <v>540</v>
      </c>
      <c r="X287" s="262">
        <v>540</v>
      </c>
      <c r="Y287" s="262">
        <f t="shared" si="5"/>
        <v>6480</v>
      </c>
    </row>
    <row r="288" spans="1:25" s="261" customFormat="1" ht="11.25" customHeight="1">
      <c r="A288" s="261">
        <v>2014</v>
      </c>
      <c r="B288" s="261" t="s">
        <v>573</v>
      </c>
      <c r="C288" s="261" t="s">
        <v>32</v>
      </c>
      <c r="D288" s="9" t="s">
        <v>32</v>
      </c>
      <c r="E288" s="261" t="s">
        <v>18</v>
      </c>
      <c r="F288" s="261" t="s">
        <v>168</v>
      </c>
      <c r="G288" s="9" t="s">
        <v>442</v>
      </c>
      <c r="H288" s="9" t="s">
        <v>18</v>
      </c>
      <c r="I288" s="9" t="s">
        <v>18</v>
      </c>
      <c r="J288" s="9" t="s">
        <v>44</v>
      </c>
      <c r="K288" s="261" t="s">
        <v>173</v>
      </c>
      <c r="M288" s="262">
        <v>810</v>
      </c>
      <c r="N288" s="262">
        <v>810</v>
      </c>
      <c r="O288" s="262">
        <v>810</v>
      </c>
      <c r="P288" s="262">
        <v>810</v>
      </c>
      <c r="Q288" s="262">
        <v>810</v>
      </c>
      <c r="R288" s="262">
        <v>810</v>
      </c>
      <c r="S288" s="262">
        <v>810</v>
      </c>
      <c r="T288" s="262">
        <v>810</v>
      </c>
      <c r="U288" s="262">
        <v>810</v>
      </c>
      <c r="V288" s="262">
        <v>810</v>
      </c>
      <c r="W288" s="262">
        <v>810</v>
      </c>
      <c r="X288" s="262">
        <v>810</v>
      </c>
      <c r="Y288" s="262">
        <f t="shared" si="5"/>
        <v>9720</v>
      </c>
    </row>
    <row r="289" spans="1:25" s="261" customFormat="1" ht="11.25" customHeight="1">
      <c r="A289" s="261">
        <v>2014</v>
      </c>
      <c r="B289" s="261" t="s">
        <v>573</v>
      </c>
      <c r="C289" s="261" t="s">
        <v>32</v>
      </c>
      <c r="D289" s="9" t="s">
        <v>32</v>
      </c>
      <c r="E289" s="261" t="s">
        <v>18</v>
      </c>
      <c r="F289" s="261" t="s">
        <v>168</v>
      </c>
      <c r="G289" s="9" t="s">
        <v>442</v>
      </c>
      <c r="H289" s="9" t="s">
        <v>18</v>
      </c>
      <c r="I289" s="9" t="s">
        <v>18</v>
      </c>
      <c r="J289" s="9" t="s">
        <v>44</v>
      </c>
      <c r="K289" s="261" t="s">
        <v>176</v>
      </c>
      <c r="M289" s="262">
        <v>455</v>
      </c>
      <c r="N289" s="262">
        <v>455</v>
      </c>
      <c r="O289" s="262">
        <v>455</v>
      </c>
      <c r="P289" s="262">
        <v>455</v>
      </c>
      <c r="Q289" s="262">
        <v>455</v>
      </c>
      <c r="R289" s="262">
        <v>455</v>
      </c>
      <c r="S289" s="262">
        <v>455</v>
      </c>
      <c r="T289" s="262">
        <v>455</v>
      </c>
      <c r="U289" s="262">
        <v>455</v>
      </c>
      <c r="V289" s="262">
        <v>455</v>
      </c>
      <c r="W289" s="262">
        <v>455</v>
      </c>
      <c r="X289" s="262">
        <v>455</v>
      </c>
      <c r="Y289" s="262">
        <f t="shared" si="5"/>
        <v>5460</v>
      </c>
    </row>
    <row r="290" spans="1:25" s="261" customFormat="1" ht="11.25" customHeight="1">
      <c r="A290" s="261">
        <v>2014</v>
      </c>
      <c r="B290" s="261" t="s">
        <v>573</v>
      </c>
      <c r="C290" s="261" t="s">
        <v>32</v>
      </c>
      <c r="D290" s="9" t="s">
        <v>32</v>
      </c>
      <c r="E290" s="261" t="s">
        <v>18</v>
      </c>
      <c r="F290" s="261" t="s">
        <v>168</v>
      </c>
      <c r="G290" s="9" t="s">
        <v>442</v>
      </c>
      <c r="H290" s="9" t="s">
        <v>18</v>
      </c>
      <c r="I290" s="9" t="s">
        <v>18</v>
      </c>
      <c r="J290" s="9" t="s">
        <v>44</v>
      </c>
      <c r="K290" s="261" t="s">
        <v>171</v>
      </c>
      <c r="M290" s="262">
        <v>400</v>
      </c>
      <c r="N290" s="262">
        <v>400</v>
      </c>
      <c r="O290" s="262">
        <v>400</v>
      </c>
      <c r="P290" s="262">
        <v>400</v>
      </c>
      <c r="Q290" s="262">
        <v>400</v>
      </c>
      <c r="R290" s="262">
        <v>400</v>
      </c>
      <c r="S290" s="262">
        <v>400</v>
      </c>
      <c r="T290" s="262">
        <v>400</v>
      </c>
      <c r="U290" s="262">
        <v>400</v>
      </c>
      <c r="V290" s="262">
        <v>400</v>
      </c>
      <c r="W290" s="262">
        <v>400</v>
      </c>
      <c r="X290" s="262">
        <v>400</v>
      </c>
      <c r="Y290" s="262">
        <f t="shared" si="5"/>
        <v>4800</v>
      </c>
    </row>
    <row r="291" spans="1:25" s="261" customFormat="1" ht="11.25" customHeight="1">
      <c r="A291" s="261">
        <v>2014</v>
      </c>
      <c r="B291" s="261" t="s">
        <v>573</v>
      </c>
      <c r="C291" s="261" t="s">
        <v>32</v>
      </c>
      <c r="D291" s="9" t="s">
        <v>32</v>
      </c>
      <c r="E291" s="261" t="s">
        <v>18</v>
      </c>
      <c r="F291" s="261" t="s">
        <v>168</v>
      </c>
      <c r="G291" s="9" t="s">
        <v>442</v>
      </c>
      <c r="H291" s="9" t="s">
        <v>18</v>
      </c>
      <c r="I291" s="9" t="s">
        <v>18</v>
      </c>
      <c r="J291" s="9" t="s">
        <v>44</v>
      </c>
      <c r="K291" s="261" t="s">
        <v>174</v>
      </c>
      <c r="M291" s="262">
        <v>670</v>
      </c>
      <c r="N291" s="262">
        <v>670</v>
      </c>
      <c r="O291" s="262">
        <v>670</v>
      </c>
      <c r="P291" s="262">
        <v>670</v>
      </c>
      <c r="Q291" s="262">
        <v>670</v>
      </c>
      <c r="R291" s="262">
        <v>670</v>
      </c>
      <c r="S291" s="262">
        <v>670</v>
      </c>
      <c r="T291" s="262">
        <v>670</v>
      </c>
      <c r="U291" s="262">
        <v>670</v>
      </c>
      <c r="V291" s="262">
        <v>670</v>
      </c>
      <c r="W291" s="262">
        <v>670</v>
      </c>
      <c r="X291" s="262">
        <v>670</v>
      </c>
      <c r="Y291" s="262">
        <f t="shared" si="5"/>
        <v>8040</v>
      </c>
    </row>
    <row r="292" spans="1:25" s="261" customFormat="1" ht="11.25" customHeight="1">
      <c r="A292" s="261">
        <v>2014</v>
      </c>
      <c r="B292" s="261" t="s">
        <v>573</v>
      </c>
      <c r="C292" s="261" t="s">
        <v>32</v>
      </c>
      <c r="D292" s="9" t="s">
        <v>32</v>
      </c>
      <c r="E292" s="261" t="s">
        <v>18</v>
      </c>
      <c r="F292" s="261" t="s">
        <v>168</v>
      </c>
      <c r="G292" s="9" t="s">
        <v>442</v>
      </c>
      <c r="H292" s="9" t="s">
        <v>18</v>
      </c>
      <c r="I292" s="9" t="s">
        <v>18</v>
      </c>
      <c r="J292" s="9" t="s">
        <v>44</v>
      </c>
      <c r="K292" s="261" t="s">
        <v>172</v>
      </c>
      <c r="M292" s="262">
        <v>350</v>
      </c>
      <c r="N292" s="262">
        <v>350</v>
      </c>
      <c r="O292" s="262">
        <v>350</v>
      </c>
      <c r="P292" s="262">
        <v>350</v>
      </c>
      <c r="Q292" s="262">
        <v>350</v>
      </c>
      <c r="R292" s="262">
        <v>350</v>
      </c>
      <c r="S292" s="262">
        <v>350</v>
      </c>
      <c r="T292" s="262">
        <v>350</v>
      </c>
      <c r="U292" s="262">
        <v>350</v>
      </c>
      <c r="V292" s="262">
        <v>350</v>
      </c>
      <c r="W292" s="262">
        <v>350</v>
      </c>
      <c r="X292" s="262">
        <v>350</v>
      </c>
      <c r="Y292" s="262">
        <f t="shared" si="5"/>
        <v>4200</v>
      </c>
    </row>
    <row r="293" spans="1:25" s="261" customFormat="1" ht="11.25" customHeight="1">
      <c r="A293" s="261">
        <v>2014</v>
      </c>
      <c r="B293" s="261" t="s">
        <v>573</v>
      </c>
      <c r="C293" s="261" t="s">
        <v>32</v>
      </c>
      <c r="D293" s="9" t="s">
        <v>32</v>
      </c>
      <c r="E293" s="261" t="s">
        <v>18</v>
      </c>
      <c r="F293" s="261" t="s">
        <v>168</v>
      </c>
      <c r="G293" s="9" t="s">
        <v>442</v>
      </c>
      <c r="H293" s="9" t="s">
        <v>18</v>
      </c>
      <c r="I293" s="9" t="s">
        <v>18</v>
      </c>
      <c r="J293" s="9" t="s">
        <v>44</v>
      </c>
      <c r="K293" s="261" t="s">
        <v>179</v>
      </c>
      <c r="M293" s="262">
        <v>615</v>
      </c>
      <c r="N293" s="262">
        <v>615</v>
      </c>
      <c r="O293" s="262">
        <v>615</v>
      </c>
      <c r="P293" s="262">
        <v>615</v>
      </c>
      <c r="Q293" s="262">
        <v>615</v>
      </c>
      <c r="R293" s="262">
        <v>615</v>
      </c>
      <c r="S293" s="262">
        <v>615</v>
      </c>
      <c r="T293" s="262">
        <v>615</v>
      </c>
      <c r="U293" s="262">
        <v>615</v>
      </c>
      <c r="V293" s="262">
        <v>615</v>
      </c>
      <c r="W293" s="262">
        <v>615</v>
      </c>
      <c r="X293" s="262">
        <v>615</v>
      </c>
      <c r="Y293" s="262">
        <f t="shared" si="5"/>
        <v>7380</v>
      </c>
    </row>
    <row r="294" spans="1:25" s="261" customFormat="1" ht="11.25" customHeight="1">
      <c r="A294" s="261">
        <v>2014</v>
      </c>
      <c r="B294" s="261" t="s">
        <v>573</v>
      </c>
      <c r="C294" s="261" t="s">
        <v>32</v>
      </c>
      <c r="D294" s="9" t="s">
        <v>32</v>
      </c>
      <c r="E294" s="261" t="s">
        <v>18</v>
      </c>
      <c r="F294" s="261" t="s">
        <v>168</v>
      </c>
      <c r="G294" s="9" t="s">
        <v>442</v>
      </c>
      <c r="H294" s="9" t="s">
        <v>18</v>
      </c>
      <c r="I294" s="9" t="s">
        <v>18</v>
      </c>
      <c r="J294" s="9" t="s">
        <v>44</v>
      </c>
      <c r="K294" s="261" t="s">
        <v>182</v>
      </c>
      <c r="M294" s="262">
        <v>310</v>
      </c>
      <c r="N294" s="262">
        <v>310</v>
      </c>
      <c r="O294" s="262">
        <v>310</v>
      </c>
      <c r="P294" s="262">
        <v>310</v>
      </c>
      <c r="Q294" s="262">
        <v>310</v>
      </c>
      <c r="R294" s="262">
        <v>310</v>
      </c>
      <c r="S294" s="262">
        <v>310</v>
      </c>
      <c r="T294" s="262">
        <v>310</v>
      </c>
      <c r="U294" s="262">
        <v>310</v>
      </c>
      <c r="V294" s="262">
        <v>310</v>
      </c>
      <c r="W294" s="262">
        <v>310</v>
      </c>
      <c r="X294" s="262">
        <v>310</v>
      </c>
      <c r="Y294" s="262">
        <f t="shared" si="5"/>
        <v>3720</v>
      </c>
    </row>
    <row r="295" spans="1:25" s="261" customFormat="1" ht="11.25" customHeight="1">
      <c r="A295" s="261">
        <v>2014</v>
      </c>
      <c r="B295" s="261" t="s">
        <v>573</v>
      </c>
      <c r="C295" s="261" t="s">
        <v>32</v>
      </c>
      <c r="D295" s="9" t="s">
        <v>32</v>
      </c>
      <c r="E295" s="261" t="s">
        <v>18</v>
      </c>
      <c r="F295" s="261" t="s">
        <v>168</v>
      </c>
      <c r="G295" s="9" t="s">
        <v>442</v>
      </c>
      <c r="H295" s="9" t="s">
        <v>18</v>
      </c>
      <c r="I295" s="9" t="s">
        <v>18</v>
      </c>
      <c r="J295" s="9" t="s">
        <v>44</v>
      </c>
      <c r="K295" s="261" t="s">
        <v>180</v>
      </c>
      <c r="M295" s="262">
        <v>550</v>
      </c>
      <c r="N295" s="262">
        <v>550</v>
      </c>
      <c r="O295" s="262">
        <v>550</v>
      </c>
      <c r="P295" s="262">
        <v>550</v>
      </c>
      <c r="Q295" s="262">
        <v>550</v>
      </c>
      <c r="R295" s="262">
        <v>550</v>
      </c>
      <c r="S295" s="262">
        <v>550</v>
      </c>
      <c r="T295" s="262">
        <v>550</v>
      </c>
      <c r="U295" s="262">
        <v>550</v>
      </c>
      <c r="V295" s="262">
        <v>550</v>
      </c>
      <c r="W295" s="262">
        <v>550</v>
      </c>
      <c r="X295" s="262">
        <v>550</v>
      </c>
      <c r="Y295" s="262">
        <f t="shared" si="5"/>
        <v>6600</v>
      </c>
    </row>
    <row r="296" spans="1:25" s="261" customFormat="1" ht="11.25" customHeight="1">
      <c r="A296" s="261">
        <v>2014</v>
      </c>
      <c r="B296" s="261" t="s">
        <v>573</v>
      </c>
      <c r="C296" s="261" t="s">
        <v>32</v>
      </c>
      <c r="D296" s="9" t="s">
        <v>32</v>
      </c>
      <c r="E296" s="261" t="s">
        <v>18</v>
      </c>
      <c r="F296" s="261" t="s">
        <v>168</v>
      </c>
      <c r="G296" s="9" t="s">
        <v>442</v>
      </c>
      <c r="H296" s="9" t="s">
        <v>18</v>
      </c>
      <c r="I296" s="9" t="s">
        <v>18</v>
      </c>
      <c r="J296" s="9" t="s">
        <v>44</v>
      </c>
      <c r="K296" s="261" t="s">
        <v>183</v>
      </c>
      <c r="M296" s="262">
        <v>400</v>
      </c>
      <c r="N296" s="262">
        <v>400</v>
      </c>
      <c r="O296" s="262">
        <v>400</v>
      </c>
      <c r="P296" s="262">
        <v>400</v>
      </c>
      <c r="Q296" s="262">
        <v>400</v>
      </c>
      <c r="R296" s="262">
        <v>400</v>
      </c>
      <c r="S296" s="262">
        <v>400</v>
      </c>
      <c r="T296" s="262">
        <v>400</v>
      </c>
      <c r="U296" s="262">
        <v>400</v>
      </c>
      <c r="V296" s="262">
        <v>400</v>
      </c>
      <c r="W296" s="262">
        <v>400</v>
      </c>
      <c r="X296" s="262">
        <v>400</v>
      </c>
      <c r="Y296" s="262">
        <f t="shared" si="5"/>
        <v>4800</v>
      </c>
    </row>
    <row r="297" spans="1:25" s="261" customFormat="1" ht="11.25" customHeight="1">
      <c r="A297" s="261">
        <v>2014</v>
      </c>
      <c r="B297" s="261" t="s">
        <v>573</v>
      </c>
      <c r="C297" s="261" t="s">
        <v>32</v>
      </c>
      <c r="D297" s="9" t="s">
        <v>32</v>
      </c>
      <c r="E297" s="261" t="s">
        <v>18</v>
      </c>
      <c r="F297" s="261" t="s">
        <v>168</v>
      </c>
      <c r="G297" s="9" t="s">
        <v>442</v>
      </c>
      <c r="H297" s="9" t="s">
        <v>18</v>
      </c>
      <c r="I297" s="9" t="s">
        <v>18</v>
      </c>
      <c r="J297" s="9" t="s">
        <v>44</v>
      </c>
      <c r="K297" s="261" t="s">
        <v>170</v>
      </c>
      <c r="M297" s="262">
        <v>460</v>
      </c>
      <c r="N297" s="262">
        <v>460</v>
      </c>
      <c r="O297" s="262">
        <v>460</v>
      </c>
      <c r="P297" s="262">
        <v>460</v>
      </c>
      <c r="Q297" s="262">
        <v>460</v>
      </c>
      <c r="R297" s="262">
        <v>460</v>
      </c>
      <c r="S297" s="262">
        <v>460</v>
      </c>
      <c r="T297" s="262">
        <v>460</v>
      </c>
      <c r="U297" s="262">
        <v>460</v>
      </c>
      <c r="V297" s="262">
        <v>460</v>
      </c>
      <c r="W297" s="262">
        <v>460</v>
      </c>
      <c r="X297" s="262">
        <v>460</v>
      </c>
      <c r="Y297" s="262">
        <f t="shared" si="5"/>
        <v>5520</v>
      </c>
    </row>
    <row r="298" spans="1:25" s="261" customFormat="1" ht="11.25" customHeight="1">
      <c r="A298" s="261">
        <v>2014</v>
      </c>
      <c r="B298" s="261" t="s">
        <v>573</v>
      </c>
      <c r="C298" s="261" t="s">
        <v>32</v>
      </c>
      <c r="D298" s="9" t="s">
        <v>32</v>
      </c>
      <c r="E298" s="261" t="s">
        <v>18</v>
      </c>
      <c r="F298" s="261" t="s">
        <v>168</v>
      </c>
      <c r="G298" s="9" t="s">
        <v>442</v>
      </c>
      <c r="H298" s="9" t="s">
        <v>18</v>
      </c>
      <c r="I298" s="9" t="s">
        <v>18</v>
      </c>
      <c r="J298" s="9" t="s">
        <v>44</v>
      </c>
      <c r="K298" s="261" t="s">
        <v>178</v>
      </c>
      <c r="M298" s="262">
        <v>400</v>
      </c>
      <c r="N298" s="262">
        <v>400</v>
      </c>
      <c r="O298" s="262">
        <v>400</v>
      </c>
      <c r="P298" s="262">
        <v>400</v>
      </c>
      <c r="Q298" s="262">
        <v>400</v>
      </c>
      <c r="R298" s="262">
        <v>400</v>
      </c>
      <c r="S298" s="262">
        <v>400</v>
      </c>
      <c r="T298" s="262">
        <v>400</v>
      </c>
      <c r="U298" s="262">
        <v>400</v>
      </c>
      <c r="V298" s="262">
        <v>400</v>
      </c>
      <c r="W298" s="262">
        <v>400</v>
      </c>
      <c r="X298" s="262">
        <v>400</v>
      </c>
      <c r="Y298" s="262">
        <f t="shared" si="5"/>
        <v>4800</v>
      </c>
    </row>
    <row r="299" spans="1:25" s="261" customFormat="1" ht="11.25" customHeight="1">
      <c r="A299" s="261">
        <v>2014</v>
      </c>
      <c r="B299" s="261" t="s">
        <v>573</v>
      </c>
      <c r="C299" s="261" t="s">
        <v>32</v>
      </c>
      <c r="D299" s="9" t="s">
        <v>32</v>
      </c>
      <c r="E299" s="261" t="s">
        <v>18</v>
      </c>
      <c r="F299" s="261" t="s">
        <v>168</v>
      </c>
      <c r="G299" s="9" t="s">
        <v>442</v>
      </c>
      <c r="H299" s="9" t="s">
        <v>18</v>
      </c>
      <c r="I299" s="9" t="s">
        <v>18</v>
      </c>
      <c r="J299" s="9" t="s">
        <v>44</v>
      </c>
      <c r="K299" s="261" t="s">
        <v>177</v>
      </c>
      <c r="M299" s="262">
        <v>415</v>
      </c>
      <c r="N299" s="262">
        <v>415</v>
      </c>
      <c r="O299" s="262">
        <v>415</v>
      </c>
      <c r="P299" s="262">
        <v>415</v>
      </c>
      <c r="Q299" s="262">
        <v>415</v>
      </c>
      <c r="R299" s="262">
        <v>415</v>
      </c>
      <c r="S299" s="262">
        <v>415</v>
      </c>
      <c r="T299" s="262">
        <v>415</v>
      </c>
      <c r="U299" s="262">
        <v>415</v>
      </c>
      <c r="V299" s="262">
        <v>415</v>
      </c>
      <c r="W299" s="262">
        <v>415</v>
      </c>
      <c r="X299" s="262">
        <v>415</v>
      </c>
      <c r="Y299" s="262">
        <f t="shared" si="5"/>
        <v>4980</v>
      </c>
    </row>
    <row r="300" spans="1:25" s="261" customFormat="1" ht="11.25" customHeight="1">
      <c r="A300" s="261">
        <v>2014</v>
      </c>
      <c r="B300" s="261" t="s">
        <v>573</v>
      </c>
      <c r="C300" s="261" t="s">
        <v>32</v>
      </c>
      <c r="D300" s="9" t="s">
        <v>32</v>
      </c>
      <c r="E300" s="261" t="s">
        <v>18</v>
      </c>
      <c r="F300" s="261" t="s">
        <v>168</v>
      </c>
      <c r="G300" s="9" t="s">
        <v>442</v>
      </c>
      <c r="H300" s="9" t="s">
        <v>18</v>
      </c>
      <c r="I300" s="9" t="s">
        <v>18</v>
      </c>
      <c r="J300" s="9" t="s">
        <v>44</v>
      </c>
      <c r="K300" s="261" t="s">
        <v>184</v>
      </c>
      <c r="M300" s="262">
        <v>355</v>
      </c>
      <c r="N300" s="262">
        <v>355</v>
      </c>
      <c r="O300" s="262">
        <v>355</v>
      </c>
      <c r="P300" s="262">
        <v>355</v>
      </c>
      <c r="Q300" s="262">
        <v>355</v>
      </c>
      <c r="R300" s="262">
        <v>355</v>
      </c>
      <c r="S300" s="262">
        <v>355</v>
      </c>
      <c r="T300" s="262">
        <v>355</v>
      </c>
      <c r="U300" s="262">
        <v>355</v>
      </c>
      <c r="V300" s="262">
        <v>355</v>
      </c>
      <c r="W300" s="262">
        <v>355</v>
      </c>
      <c r="X300" s="262">
        <v>355</v>
      </c>
      <c r="Y300" s="262">
        <f t="shared" si="5"/>
        <v>4260</v>
      </c>
    </row>
    <row r="301" spans="1:25" s="261" customFormat="1" ht="11.25" customHeight="1">
      <c r="A301" s="261">
        <v>2014</v>
      </c>
      <c r="B301" s="261" t="s">
        <v>574</v>
      </c>
      <c r="C301" s="261" t="s">
        <v>32</v>
      </c>
      <c r="D301" s="9" t="s">
        <v>32</v>
      </c>
      <c r="E301" s="261" t="s">
        <v>45</v>
      </c>
      <c r="F301" s="261" t="s">
        <v>168</v>
      </c>
      <c r="G301" s="9" t="s">
        <v>442</v>
      </c>
      <c r="H301" s="9" t="s">
        <v>45</v>
      </c>
      <c r="I301" s="9" t="s">
        <v>45</v>
      </c>
      <c r="J301" s="9" t="s">
        <v>46</v>
      </c>
      <c r="M301" s="262">
        <v>6000</v>
      </c>
      <c r="N301" s="262">
        <v>8500</v>
      </c>
      <c r="O301" s="262">
        <v>9000</v>
      </c>
      <c r="P301" s="262">
        <v>18000</v>
      </c>
      <c r="Q301" s="262">
        <v>15000</v>
      </c>
      <c r="R301" s="262">
        <v>15000</v>
      </c>
      <c r="S301" s="262">
        <v>15000</v>
      </c>
      <c r="T301" s="262">
        <v>13000</v>
      </c>
      <c r="U301" s="262">
        <v>9000</v>
      </c>
      <c r="V301" s="262">
        <v>15000</v>
      </c>
      <c r="W301" s="262">
        <v>8000</v>
      </c>
      <c r="X301" s="262">
        <v>8000</v>
      </c>
      <c r="Y301" s="262">
        <f t="shared" si="5"/>
        <v>139500</v>
      </c>
    </row>
    <row r="302" spans="1:25" s="261" customFormat="1" ht="11.25" customHeight="1">
      <c r="A302" s="261">
        <v>2014</v>
      </c>
      <c r="B302" s="261" t="s">
        <v>573</v>
      </c>
      <c r="C302" s="261" t="s">
        <v>32</v>
      </c>
      <c r="D302" s="9" t="s">
        <v>32</v>
      </c>
      <c r="E302" s="261" t="s">
        <v>29</v>
      </c>
      <c r="F302" s="261" t="s">
        <v>168</v>
      </c>
      <c r="G302" s="9" t="s">
        <v>442</v>
      </c>
      <c r="H302" s="9" t="s">
        <v>29</v>
      </c>
      <c r="I302" s="9" t="s">
        <v>29</v>
      </c>
      <c r="J302" s="9" t="s">
        <v>31</v>
      </c>
      <c r="M302" s="262">
        <v>250</v>
      </c>
      <c r="N302" s="262">
        <v>250</v>
      </c>
      <c r="O302" s="262">
        <v>250</v>
      </c>
      <c r="P302" s="262">
        <v>250</v>
      </c>
      <c r="Q302" s="262">
        <v>250</v>
      </c>
      <c r="R302" s="262">
        <v>250</v>
      </c>
      <c r="S302" s="262">
        <v>250</v>
      </c>
      <c r="T302" s="262">
        <v>250</v>
      </c>
      <c r="U302" s="262">
        <v>250</v>
      </c>
      <c r="V302" s="262">
        <v>250</v>
      </c>
      <c r="W302" s="262">
        <v>250</v>
      </c>
      <c r="X302" s="262">
        <v>250</v>
      </c>
      <c r="Y302" s="262">
        <f t="shared" si="5"/>
        <v>3000</v>
      </c>
    </row>
    <row r="303" spans="1:25" s="261" customFormat="1" ht="11.25" customHeight="1">
      <c r="A303" s="261">
        <v>2014</v>
      </c>
      <c r="B303" s="261" t="s">
        <v>573</v>
      </c>
      <c r="C303" s="261" t="s">
        <v>32</v>
      </c>
      <c r="D303" s="9" t="s">
        <v>32</v>
      </c>
      <c r="E303" s="261" t="s">
        <v>29</v>
      </c>
      <c r="F303" s="261" t="s">
        <v>168</v>
      </c>
      <c r="G303" s="9" t="s">
        <v>442</v>
      </c>
      <c r="H303" s="9" t="s">
        <v>29</v>
      </c>
      <c r="I303" s="9" t="s">
        <v>29</v>
      </c>
      <c r="J303" s="9" t="s">
        <v>30</v>
      </c>
      <c r="M303" s="262">
        <v>250</v>
      </c>
      <c r="N303" s="262">
        <v>250</v>
      </c>
      <c r="O303" s="262">
        <v>250</v>
      </c>
      <c r="P303" s="262">
        <v>250</v>
      </c>
      <c r="Q303" s="262">
        <v>250</v>
      </c>
      <c r="R303" s="262">
        <v>250</v>
      </c>
      <c r="S303" s="262">
        <v>250</v>
      </c>
      <c r="T303" s="262">
        <v>250</v>
      </c>
      <c r="U303" s="262">
        <v>250</v>
      </c>
      <c r="V303" s="262">
        <v>250</v>
      </c>
      <c r="W303" s="262">
        <v>250</v>
      </c>
      <c r="X303" s="262">
        <v>250</v>
      </c>
      <c r="Y303" s="262">
        <f t="shared" si="5"/>
        <v>3000</v>
      </c>
    </row>
    <row r="304" spans="1:25" s="261" customFormat="1" ht="11.25" customHeight="1">
      <c r="A304" s="261">
        <v>2014</v>
      </c>
      <c r="B304" s="261" t="s">
        <v>573</v>
      </c>
      <c r="C304" s="261" t="s">
        <v>32</v>
      </c>
      <c r="D304" s="9" t="s">
        <v>32</v>
      </c>
      <c r="E304" s="261" t="s">
        <v>12</v>
      </c>
      <c r="F304" s="261" t="s">
        <v>168</v>
      </c>
      <c r="G304" s="9" t="s">
        <v>442</v>
      </c>
      <c r="H304" s="9" t="s">
        <v>12</v>
      </c>
      <c r="I304" s="9" t="s">
        <v>12</v>
      </c>
      <c r="J304" s="9" t="s">
        <v>134</v>
      </c>
      <c r="M304" s="262">
        <v>240</v>
      </c>
      <c r="N304" s="262">
        <v>240</v>
      </c>
      <c r="O304" s="262">
        <v>240</v>
      </c>
      <c r="P304" s="262">
        <v>240</v>
      </c>
      <c r="Q304" s="262">
        <v>240</v>
      </c>
      <c r="R304" s="262">
        <v>240</v>
      </c>
      <c r="S304" s="262">
        <v>240</v>
      </c>
      <c r="T304" s="262">
        <v>240</v>
      </c>
      <c r="U304" s="262">
        <v>240</v>
      </c>
      <c r="V304" s="262">
        <v>240</v>
      </c>
      <c r="W304" s="262">
        <v>240</v>
      </c>
      <c r="X304" s="262">
        <v>240</v>
      </c>
      <c r="Y304" s="262">
        <f t="shared" si="5"/>
        <v>2880</v>
      </c>
    </row>
    <row r="305" spans="1:25" s="261" customFormat="1" ht="11.25" customHeight="1">
      <c r="A305" s="261">
        <v>2014</v>
      </c>
      <c r="B305" s="261" t="s">
        <v>573</v>
      </c>
      <c r="C305" s="261" t="s">
        <v>32</v>
      </c>
      <c r="D305" s="9" t="s">
        <v>32</v>
      </c>
      <c r="E305" s="261" t="s">
        <v>12</v>
      </c>
      <c r="F305" s="261" t="s">
        <v>168</v>
      </c>
      <c r="G305" s="9" t="s">
        <v>442</v>
      </c>
      <c r="H305" s="9" t="s">
        <v>12</v>
      </c>
      <c r="I305" s="9" t="s">
        <v>12</v>
      </c>
      <c r="J305" s="9" t="s">
        <v>13</v>
      </c>
      <c r="K305" s="261" t="s">
        <v>181</v>
      </c>
      <c r="M305" s="262">
        <v>41</v>
      </c>
      <c r="N305" s="262">
        <v>41</v>
      </c>
      <c r="O305" s="262">
        <v>41</v>
      </c>
      <c r="P305" s="262">
        <v>41</v>
      </c>
      <c r="Q305" s="262">
        <v>41</v>
      </c>
      <c r="R305" s="262">
        <v>41</v>
      </c>
      <c r="S305" s="262">
        <v>41</v>
      </c>
      <c r="T305" s="262">
        <v>41</v>
      </c>
      <c r="U305" s="262">
        <v>41</v>
      </c>
      <c r="V305" s="262">
        <v>41</v>
      </c>
      <c r="W305" s="262">
        <v>41</v>
      </c>
      <c r="X305" s="262">
        <v>41</v>
      </c>
      <c r="Y305" s="262">
        <f t="shared" si="5"/>
        <v>492</v>
      </c>
    </row>
    <row r="306" spans="1:25" s="261" customFormat="1" ht="11.25" customHeight="1">
      <c r="A306" s="261">
        <v>2014</v>
      </c>
      <c r="B306" s="261" t="s">
        <v>573</v>
      </c>
      <c r="C306" s="261" t="s">
        <v>32</v>
      </c>
      <c r="D306" s="9" t="s">
        <v>32</v>
      </c>
      <c r="E306" s="261" t="s">
        <v>12</v>
      </c>
      <c r="F306" s="261" t="s">
        <v>168</v>
      </c>
      <c r="G306" s="9" t="s">
        <v>442</v>
      </c>
      <c r="H306" s="9" t="s">
        <v>12</v>
      </c>
      <c r="I306" s="9" t="s">
        <v>12</v>
      </c>
      <c r="J306" s="9" t="s">
        <v>13</v>
      </c>
      <c r="K306" s="261" t="s">
        <v>175</v>
      </c>
      <c r="M306" s="262">
        <v>41</v>
      </c>
      <c r="N306" s="262">
        <v>41</v>
      </c>
      <c r="O306" s="262">
        <v>41</v>
      </c>
      <c r="P306" s="262">
        <v>41</v>
      </c>
      <c r="Q306" s="262">
        <v>41</v>
      </c>
      <c r="R306" s="262">
        <v>41</v>
      </c>
      <c r="S306" s="262">
        <v>41</v>
      </c>
      <c r="T306" s="262">
        <v>41</v>
      </c>
      <c r="U306" s="262">
        <v>41</v>
      </c>
      <c r="V306" s="262">
        <v>41</v>
      </c>
      <c r="W306" s="262">
        <v>41</v>
      </c>
      <c r="X306" s="262">
        <v>41</v>
      </c>
      <c r="Y306" s="262">
        <f t="shared" si="5"/>
        <v>492</v>
      </c>
    </row>
    <row r="307" spans="1:25" s="261" customFormat="1" ht="11.25" customHeight="1">
      <c r="A307" s="261">
        <v>2014</v>
      </c>
      <c r="B307" s="261" t="s">
        <v>573</v>
      </c>
      <c r="C307" s="261" t="s">
        <v>32</v>
      </c>
      <c r="D307" s="9" t="s">
        <v>32</v>
      </c>
      <c r="E307" s="261" t="s">
        <v>12</v>
      </c>
      <c r="F307" s="261" t="s">
        <v>168</v>
      </c>
      <c r="G307" s="9" t="s">
        <v>442</v>
      </c>
      <c r="H307" s="9" t="s">
        <v>12</v>
      </c>
      <c r="I307" s="9" t="s">
        <v>12</v>
      </c>
      <c r="J307" s="9" t="s">
        <v>13</v>
      </c>
      <c r="K307" s="261" t="s">
        <v>173</v>
      </c>
      <c r="M307" s="262">
        <v>91</v>
      </c>
      <c r="N307" s="262">
        <v>91</v>
      </c>
      <c r="O307" s="262">
        <v>91</v>
      </c>
      <c r="P307" s="262">
        <v>91</v>
      </c>
      <c r="Q307" s="262">
        <v>91</v>
      </c>
      <c r="R307" s="262">
        <v>91</v>
      </c>
      <c r="S307" s="262">
        <v>91</v>
      </c>
      <c r="T307" s="262">
        <v>91</v>
      </c>
      <c r="U307" s="262">
        <v>91</v>
      </c>
      <c r="V307" s="262">
        <v>91</v>
      </c>
      <c r="W307" s="262">
        <v>91</v>
      </c>
      <c r="X307" s="262">
        <v>91</v>
      </c>
      <c r="Y307" s="262">
        <f t="shared" si="5"/>
        <v>1092</v>
      </c>
    </row>
    <row r="308" spans="1:25" s="261" customFormat="1" ht="11.25" customHeight="1">
      <c r="A308" s="261">
        <v>2014</v>
      </c>
      <c r="B308" s="261" t="s">
        <v>573</v>
      </c>
      <c r="C308" s="261" t="s">
        <v>32</v>
      </c>
      <c r="D308" s="9" t="s">
        <v>32</v>
      </c>
      <c r="E308" s="261" t="s">
        <v>12</v>
      </c>
      <c r="F308" s="261" t="s">
        <v>168</v>
      </c>
      <c r="G308" s="9" t="s">
        <v>442</v>
      </c>
      <c r="H308" s="9" t="s">
        <v>12</v>
      </c>
      <c r="I308" s="9" t="s">
        <v>12</v>
      </c>
      <c r="J308" s="9" t="s">
        <v>13</v>
      </c>
      <c r="K308" s="261" t="s">
        <v>176</v>
      </c>
      <c r="M308" s="262">
        <v>41</v>
      </c>
      <c r="N308" s="262">
        <v>41</v>
      </c>
      <c r="O308" s="262">
        <v>41</v>
      </c>
      <c r="P308" s="262">
        <v>41</v>
      </c>
      <c r="Q308" s="262">
        <v>41</v>
      </c>
      <c r="R308" s="262">
        <v>41</v>
      </c>
      <c r="S308" s="262">
        <v>41</v>
      </c>
      <c r="T308" s="262">
        <v>41</v>
      </c>
      <c r="U308" s="262">
        <v>41</v>
      </c>
      <c r="V308" s="262">
        <v>41</v>
      </c>
      <c r="W308" s="262">
        <v>41</v>
      </c>
      <c r="X308" s="262">
        <v>41</v>
      </c>
      <c r="Y308" s="262">
        <f t="shared" si="5"/>
        <v>492</v>
      </c>
    </row>
    <row r="309" spans="1:25" s="261" customFormat="1" ht="11.25" customHeight="1">
      <c r="A309" s="261">
        <v>2014</v>
      </c>
      <c r="B309" s="261" t="s">
        <v>573</v>
      </c>
      <c r="C309" s="261" t="s">
        <v>32</v>
      </c>
      <c r="D309" s="9" t="s">
        <v>32</v>
      </c>
      <c r="E309" s="261" t="s">
        <v>12</v>
      </c>
      <c r="F309" s="261" t="s">
        <v>168</v>
      </c>
      <c r="G309" s="9" t="s">
        <v>442</v>
      </c>
      <c r="H309" s="9" t="s">
        <v>12</v>
      </c>
      <c r="I309" s="9" t="s">
        <v>12</v>
      </c>
      <c r="J309" s="9" t="s">
        <v>13</v>
      </c>
      <c r="K309" s="261" t="s">
        <v>171</v>
      </c>
      <c r="M309" s="262">
        <v>91</v>
      </c>
      <c r="N309" s="262">
        <v>91</v>
      </c>
      <c r="O309" s="262">
        <v>91</v>
      </c>
      <c r="P309" s="262">
        <v>91</v>
      </c>
      <c r="Q309" s="262">
        <v>91</v>
      </c>
      <c r="R309" s="262">
        <v>91</v>
      </c>
      <c r="S309" s="262">
        <v>91</v>
      </c>
      <c r="T309" s="262">
        <v>91</v>
      </c>
      <c r="U309" s="262">
        <v>91</v>
      </c>
      <c r="V309" s="262">
        <v>91</v>
      </c>
      <c r="W309" s="262">
        <v>91</v>
      </c>
      <c r="X309" s="262">
        <v>91</v>
      </c>
      <c r="Y309" s="262">
        <f t="shared" si="5"/>
        <v>1092</v>
      </c>
    </row>
    <row r="310" spans="1:25" s="261" customFormat="1" ht="11.25" customHeight="1">
      <c r="A310" s="261">
        <v>2014</v>
      </c>
      <c r="B310" s="261" t="s">
        <v>573</v>
      </c>
      <c r="C310" s="261" t="s">
        <v>32</v>
      </c>
      <c r="D310" s="9" t="s">
        <v>32</v>
      </c>
      <c r="E310" s="261" t="s">
        <v>12</v>
      </c>
      <c r="F310" s="261" t="s">
        <v>168</v>
      </c>
      <c r="G310" s="9" t="s">
        <v>442</v>
      </c>
      <c r="H310" s="9" t="s">
        <v>12</v>
      </c>
      <c r="I310" s="9" t="s">
        <v>12</v>
      </c>
      <c r="J310" s="9" t="s">
        <v>13</v>
      </c>
      <c r="K310" s="261" t="s">
        <v>174</v>
      </c>
      <c r="M310" s="262">
        <v>91</v>
      </c>
      <c r="N310" s="262">
        <v>91</v>
      </c>
      <c r="O310" s="262">
        <v>91</v>
      </c>
      <c r="P310" s="262">
        <v>91</v>
      </c>
      <c r="Q310" s="262">
        <v>91</v>
      </c>
      <c r="R310" s="262">
        <v>91</v>
      </c>
      <c r="S310" s="262">
        <v>91</v>
      </c>
      <c r="T310" s="262">
        <v>91</v>
      </c>
      <c r="U310" s="262">
        <v>91</v>
      </c>
      <c r="V310" s="262">
        <v>91</v>
      </c>
      <c r="W310" s="262">
        <v>91</v>
      </c>
      <c r="X310" s="262">
        <v>91</v>
      </c>
      <c r="Y310" s="262">
        <f t="shared" si="5"/>
        <v>1092</v>
      </c>
    </row>
    <row r="311" spans="1:25" s="261" customFormat="1" ht="11.25" customHeight="1">
      <c r="A311" s="261">
        <v>2014</v>
      </c>
      <c r="B311" s="261" t="s">
        <v>573</v>
      </c>
      <c r="C311" s="261" t="s">
        <v>32</v>
      </c>
      <c r="D311" s="9" t="s">
        <v>32</v>
      </c>
      <c r="E311" s="261" t="s">
        <v>12</v>
      </c>
      <c r="F311" s="261" t="s">
        <v>168</v>
      </c>
      <c r="G311" s="9" t="s">
        <v>442</v>
      </c>
      <c r="H311" s="9" t="s">
        <v>12</v>
      </c>
      <c r="I311" s="9" t="s">
        <v>12</v>
      </c>
      <c r="J311" s="9" t="s">
        <v>13</v>
      </c>
      <c r="K311" s="261" t="s">
        <v>172</v>
      </c>
      <c r="M311" s="262">
        <v>91</v>
      </c>
      <c r="N311" s="262">
        <v>91</v>
      </c>
      <c r="O311" s="262">
        <v>91</v>
      </c>
      <c r="P311" s="262">
        <v>91</v>
      </c>
      <c r="Q311" s="262">
        <v>91</v>
      </c>
      <c r="R311" s="262">
        <v>91</v>
      </c>
      <c r="S311" s="262">
        <v>91</v>
      </c>
      <c r="T311" s="262">
        <v>91</v>
      </c>
      <c r="U311" s="262">
        <v>91</v>
      </c>
      <c r="V311" s="262">
        <v>91</v>
      </c>
      <c r="W311" s="262">
        <v>91</v>
      </c>
      <c r="X311" s="262">
        <v>91</v>
      </c>
      <c r="Y311" s="262">
        <f t="shared" si="5"/>
        <v>1092</v>
      </c>
    </row>
    <row r="312" spans="1:25" s="261" customFormat="1" ht="11.25" customHeight="1">
      <c r="A312" s="261">
        <v>2014</v>
      </c>
      <c r="B312" s="261" t="s">
        <v>573</v>
      </c>
      <c r="C312" s="261" t="s">
        <v>32</v>
      </c>
      <c r="D312" s="9" t="s">
        <v>32</v>
      </c>
      <c r="E312" s="261" t="s">
        <v>12</v>
      </c>
      <c r="F312" s="261" t="s">
        <v>168</v>
      </c>
      <c r="G312" s="9" t="s">
        <v>442</v>
      </c>
      <c r="H312" s="9" t="s">
        <v>12</v>
      </c>
      <c r="I312" s="9" t="s">
        <v>12</v>
      </c>
      <c r="J312" s="9" t="s">
        <v>13</v>
      </c>
      <c r="K312" s="261" t="s">
        <v>179</v>
      </c>
      <c r="M312" s="262">
        <v>41</v>
      </c>
      <c r="N312" s="262">
        <v>41</v>
      </c>
      <c r="O312" s="262">
        <v>41</v>
      </c>
      <c r="P312" s="262">
        <v>41</v>
      </c>
      <c r="Q312" s="262">
        <v>41</v>
      </c>
      <c r="R312" s="262">
        <v>41</v>
      </c>
      <c r="S312" s="262">
        <v>41</v>
      </c>
      <c r="T312" s="262">
        <v>41</v>
      </c>
      <c r="U312" s="262">
        <v>41</v>
      </c>
      <c r="V312" s="262">
        <v>41</v>
      </c>
      <c r="W312" s="262">
        <v>41</v>
      </c>
      <c r="X312" s="262">
        <v>41</v>
      </c>
      <c r="Y312" s="262">
        <f t="shared" si="5"/>
        <v>492</v>
      </c>
    </row>
    <row r="313" spans="1:25" s="261" customFormat="1" ht="11.25" customHeight="1">
      <c r="A313" s="261">
        <v>2014</v>
      </c>
      <c r="B313" s="261" t="s">
        <v>573</v>
      </c>
      <c r="C313" s="261" t="s">
        <v>32</v>
      </c>
      <c r="D313" s="9" t="s">
        <v>32</v>
      </c>
      <c r="E313" s="261" t="s">
        <v>12</v>
      </c>
      <c r="F313" s="261" t="s">
        <v>168</v>
      </c>
      <c r="G313" s="9" t="s">
        <v>442</v>
      </c>
      <c r="H313" s="9" t="s">
        <v>12</v>
      </c>
      <c r="I313" s="9" t="s">
        <v>12</v>
      </c>
      <c r="J313" s="9" t="s">
        <v>13</v>
      </c>
      <c r="K313" s="261" t="s">
        <v>182</v>
      </c>
      <c r="M313" s="262">
        <v>41</v>
      </c>
      <c r="N313" s="262">
        <v>41</v>
      </c>
      <c r="O313" s="262">
        <v>41</v>
      </c>
      <c r="P313" s="262">
        <v>41</v>
      </c>
      <c r="Q313" s="262">
        <v>41</v>
      </c>
      <c r="R313" s="262">
        <v>41</v>
      </c>
      <c r="S313" s="262">
        <v>41</v>
      </c>
      <c r="T313" s="262">
        <v>41</v>
      </c>
      <c r="U313" s="262">
        <v>41</v>
      </c>
      <c r="V313" s="262">
        <v>41</v>
      </c>
      <c r="W313" s="262">
        <v>41</v>
      </c>
      <c r="X313" s="262">
        <v>41</v>
      </c>
      <c r="Y313" s="262">
        <f t="shared" si="5"/>
        <v>492</v>
      </c>
    </row>
    <row r="314" spans="1:25" s="261" customFormat="1" ht="11.25" customHeight="1">
      <c r="A314" s="261">
        <v>2014</v>
      </c>
      <c r="B314" s="261" t="s">
        <v>573</v>
      </c>
      <c r="C314" s="261" t="s">
        <v>32</v>
      </c>
      <c r="D314" s="9" t="s">
        <v>32</v>
      </c>
      <c r="E314" s="261" t="s">
        <v>12</v>
      </c>
      <c r="F314" s="261" t="s">
        <v>168</v>
      </c>
      <c r="G314" s="9" t="s">
        <v>442</v>
      </c>
      <c r="H314" s="9" t="s">
        <v>12</v>
      </c>
      <c r="I314" s="9" t="s">
        <v>12</v>
      </c>
      <c r="J314" s="9" t="s">
        <v>13</v>
      </c>
      <c r="K314" s="261" t="s">
        <v>180</v>
      </c>
      <c r="M314" s="262">
        <v>41</v>
      </c>
      <c r="N314" s="262">
        <v>41</v>
      </c>
      <c r="O314" s="262">
        <v>41</v>
      </c>
      <c r="P314" s="262">
        <v>41</v>
      </c>
      <c r="Q314" s="262">
        <v>41</v>
      </c>
      <c r="R314" s="262">
        <v>41</v>
      </c>
      <c r="S314" s="262">
        <v>41</v>
      </c>
      <c r="T314" s="262">
        <v>41</v>
      </c>
      <c r="U314" s="262">
        <v>41</v>
      </c>
      <c r="V314" s="262">
        <v>41</v>
      </c>
      <c r="W314" s="262">
        <v>41</v>
      </c>
      <c r="X314" s="262">
        <v>41</v>
      </c>
      <c r="Y314" s="262">
        <f t="shared" si="5"/>
        <v>492</v>
      </c>
    </row>
    <row r="315" spans="1:25" s="261" customFormat="1" ht="11.25" customHeight="1">
      <c r="A315" s="261">
        <v>2014</v>
      </c>
      <c r="B315" s="261" t="s">
        <v>573</v>
      </c>
      <c r="C315" s="261" t="s">
        <v>32</v>
      </c>
      <c r="D315" s="9" t="s">
        <v>32</v>
      </c>
      <c r="E315" s="261" t="s">
        <v>12</v>
      </c>
      <c r="F315" s="261" t="s">
        <v>168</v>
      </c>
      <c r="G315" s="9" t="s">
        <v>442</v>
      </c>
      <c r="H315" s="9" t="s">
        <v>12</v>
      </c>
      <c r="I315" s="9" t="s">
        <v>12</v>
      </c>
      <c r="J315" s="9" t="s">
        <v>13</v>
      </c>
      <c r="K315" s="261" t="s">
        <v>183</v>
      </c>
      <c r="M315" s="262">
        <v>41</v>
      </c>
      <c r="N315" s="262">
        <v>41</v>
      </c>
      <c r="O315" s="262">
        <v>41</v>
      </c>
      <c r="P315" s="262">
        <v>41</v>
      </c>
      <c r="Q315" s="262">
        <v>41</v>
      </c>
      <c r="R315" s="262">
        <v>41</v>
      </c>
      <c r="S315" s="262">
        <v>41</v>
      </c>
      <c r="T315" s="262">
        <v>41</v>
      </c>
      <c r="U315" s="262">
        <v>41</v>
      </c>
      <c r="V315" s="262">
        <v>41</v>
      </c>
      <c r="W315" s="262">
        <v>41</v>
      </c>
      <c r="X315" s="262">
        <v>41</v>
      </c>
      <c r="Y315" s="262">
        <f t="shared" si="5"/>
        <v>492</v>
      </c>
    </row>
    <row r="316" spans="1:25" s="261" customFormat="1" ht="11.25" customHeight="1">
      <c r="A316" s="261">
        <v>2014</v>
      </c>
      <c r="B316" s="261" t="s">
        <v>573</v>
      </c>
      <c r="C316" s="261" t="s">
        <v>32</v>
      </c>
      <c r="D316" s="9" t="s">
        <v>32</v>
      </c>
      <c r="E316" s="261" t="s">
        <v>12</v>
      </c>
      <c r="F316" s="261" t="s">
        <v>168</v>
      </c>
      <c r="G316" s="9" t="s">
        <v>442</v>
      </c>
      <c r="H316" s="9" t="s">
        <v>12</v>
      </c>
      <c r="I316" s="9" t="s">
        <v>12</v>
      </c>
      <c r="J316" s="9" t="s">
        <v>13</v>
      </c>
      <c r="K316" s="261" t="s">
        <v>169</v>
      </c>
      <c r="M316" s="262">
        <v>200</v>
      </c>
      <c r="N316" s="262">
        <v>200</v>
      </c>
      <c r="O316" s="262">
        <v>200</v>
      </c>
      <c r="P316" s="262">
        <v>200</v>
      </c>
      <c r="Q316" s="262">
        <v>200</v>
      </c>
      <c r="R316" s="262">
        <v>200</v>
      </c>
      <c r="S316" s="262">
        <v>200</v>
      </c>
      <c r="T316" s="262">
        <v>200</v>
      </c>
      <c r="U316" s="262">
        <v>200</v>
      </c>
      <c r="V316" s="262">
        <v>200</v>
      </c>
      <c r="W316" s="262">
        <v>200</v>
      </c>
      <c r="X316" s="262">
        <v>200</v>
      </c>
      <c r="Y316" s="262">
        <f t="shared" si="5"/>
        <v>2400</v>
      </c>
    </row>
    <row r="317" spans="1:25" s="261" customFormat="1" ht="11.25" customHeight="1">
      <c r="A317" s="261">
        <v>2014</v>
      </c>
      <c r="B317" s="261" t="s">
        <v>573</v>
      </c>
      <c r="C317" s="261" t="s">
        <v>32</v>
      </c>
      <c r="D317" s="9" t="s">
        <v>32</v>
      </c>
      <c r="E317" s="261" t="s">
        <v>12</v>
      </c>
      <c r="F317" s="261" t="s">
        <v>168</v>
      </c>
      <c r="G317" s="9" t="s">
        <v>442</v>
      </c>
      <c r="H317" s="9" t="s">
        <v>12</v>
      </c>
      <c r="I317" s="9" t="s">
        <v>12</v>
      </c>
      <c r="J317" s="9" t="s">
        <v>13</v>
      </c>
      <c r="K317" s="261" t="s">
        <v>170</v>
      </c>
      <c r="M317" s="262">
        <v>91</v>
      </c>
      <c r="N317" s="262">
        <v>91</v>
      </c>
      <c r="O317" s="262">
        <v>91</v>
      </c>
      <c r="P317" s="262">
        <v>91</v>
      </c>
      <c r="Q317" s="262">
        <v>91</v>
      </c>
      <c r="R317" s="262">
        <v>91</v>
      </c>
      <c r="S317" s="262">
        <v>91</v>
      </c>
      <c r="T317" s="262">
        <v>91</v>
      </c>
      <c r="U317" s="262">
        <v>91</v>
      </c>
      <c r="V317" s="262">
        <v>91</v>
      </c>
      <c r="W317" s="262">
        <v>91</v>
      </c>
      <c r="X317" s="262">
        <v>91</v>
      </c>
      <c r="Y317" s="262">
        <f t="shared" si="5"/>
        <v>1092</v>
      </c>
    </row>
    <row r="318" spans="1:25" s="261" customFormat="1" ht="11.25" customHeight="1">
      <c r="A318" s="261">
        <v>2014</v>
      </c>
      <c r="B318" s="261" t="s">
        <v>573</v>
      </c>
      <c r="C318" s="261" t="s">
        <v>32</v>
      </c>
      <c r="D318" s="9" t="s">
        <v>32</v>
      </c>
      <c r="E318" s="261" t="s">
        <v>12</v>
      </c>
      <c r="F318" s="261" t="s">
        <v>168</v>
      </c>
      <c r="G318" s="9" t="s">
        <v>442</v>
      </c>
      <c r="H318" s="9" t="s">
        <v>12</v>
      </c>
      <c r="I318" s="9" t="s">
        <v>12</v>
      </c>
      <c r="J318" s="9" t="s">
        <v>13</v>
      </c>
      <c r="K318" s="261" t="s">
        <v>178</v>
      </c>
      <c r="M318" s="262">
        <v>41</v>
      </c>
      <c r="N318" s="262">
        <v>41</v>
      </c>
      <c r="O318" s="262">
        <v>41</v>
      </c>
      <c r="P318" s="262">
        <v>41</v>
      </c>
      <c r="Q318" s="262">
        <v>41</v>
      </c>
      <c r="R318" s="262">
        <v>41</v>
      </c>
      <c r="S318" s="262">
        <v>41</v>
      </c>
      <c r="T318" s="262">
        <v>41</v>
      </c>
      <c r="U318" s="262">
        <v>41</v>
      </c>
      <c r="V318" s="262">
        <v>41</v>
      </c>
      <c r="W318" s="262">
        <v>41</v>
      </c>
      <c r="X318" s="262">
        <v>41</v>
      </c>
      <c r="Y318" s="262">
        <f t="shared" si="5"/>
        <v>492</v>
      </c>
    </row>
    <row r="319" spans="1:25" s="261" customFormat="1" ht="11.25" customHeight="1">
      <c r="A319" s="261">
        <v>2014</v>
      </c>
      <c r="B319" s="261" t="s">
        <v>573</v>
      </c>
      <c r="C319" s="261" t="s">
        <v>32</v>
      </c>
      <c r="D319" s="9" t="s">
        <v>32</v>
      </c>
      <c r="E319" s="261" t="s">
        <v>12</v>
      </c>
      <c r="F319" s="261" t="s">
        <v>168</v>
      </c>
      <c r="G319" s="9" t="s">
        <v>442</v>
      </c>
      <c r="H319" s="9" t="s">
        <v>12</v>
      </c>
      <c r="I319" s="9" t="s">
        <v>12</v>
      </c>
      <c r="J319" s="9" t="s">
        <v>13</v>
      </c>
      <c r="K319" s="261" t="s">
        <v>177</v>
      </c>
      <c r="M319" s="262">
        <v>41</v>
      </c>
      <c r="N319" s="262">
        <v>41</v>
      </c>
      <c r="O319" s="262">
        <v>41</v>
      </c>
      <c r="P319" s="262">
        <v>41</v>
      </c>
      <c r="Q319" s="262">
        <v>41</v>
      </c>
      <c r="R319" s="262">
        <v>41</v>
      </c>
      <c r="S319" s="262">
        <v>41</v>
      </c>
      <c r="T319" s="262">
        <v>41</v>
      </c>
      <c r="U319" s="262">
        <v>41</v>
      </c>
      <c r="V319" s="262">
        <v>41</v>
      </c>
      <c r="W319" s="262">
        <v>41</v>
      </c>
      <c r="X319" s="262">
        <v>41</v>
      </c>
      <c r="Y319" s="262">
        <f t="shared" si="5"/>
        <v>492</v>
      </c>
    </row>
    <row r="320" spans="1:25" s="261" customFormat="1" ht="11.25" customHeight="1">
      <c r="A320" s="261">
        <v>2014</v>
      </c>
      <c r="B320" s="261" t="s">
        <v>573</v>
      </c>
      <c r="C320" s="261" t="s">
        <v>32</v>
      </c>
      <c r="D320" s="9" t="s">
        <v>32</v>
      </c>
      <c r="E320" s="261" t="s">
        <v>12</v>
      </c>
      <c r="F320" s="261" t="s">
        <v>168</v>
      </c>
      <c r="G320" s="9" t="s">
        <v>442</v>
      </c>
      <c r="H320" s="9" t="s">
        <v>12</v>
      </c>
      <c r="I320" s="9" t="s">
        <v>12</v>
      </c>
      <c r="J320" s="9" t="s">
        <v>13</v>
      </c>
      <c r="K320" s="261" t="s">
        <v>184</v>
      </c>
      <c r="M320" s="262">
        <v>41</v>
      </c>
      <c r="N320" s="262">
        <v>41</v>
      </c>
      <c r="O320" s="262">
        <v>41</v>
      </c>
      <c r="P320" s="262">
        <v>41</v>
      </c>
      <c r="Q320" s="262">
        <v>41</v>
      </c>
      <c r="R320" s="262">
        <v>41</v>
      </c>
      <c r="S320" s="262">
        <v>41</v>
      </c>
      <c r="T320" s="262">
        <v>41</v>
      </c>
      <c r="U320" s="262">
        <v>41</v>
      </c>
      <c r="V320" s="262">
        <v>41</v>
      </c>
      <c r="W320" s="262">
        <v>41</v>
      </c>
      <c r="X320" s="262">
        <v>41</v>
      </c>
      <c r="Y320" s="262">
        <f t="shared" si="5"/>
        <v>492</v>
      </c>
    </row>
    <row r="321" spans="1:25" s="261" customFormat="1" ht="11.25" customHeight="1">
      <c r="A321" s="261">
        <v>2014</v>
      </c>
      <c r="B321" s="261" t="s">
        <v>573</v>
      </c>
      <c r="C321" s="261" t="s">
        <v>32</v>
      </c>
      <c r="D321" s="9" t="s">
        <v>32</v>
      </c>
      <c r="E321" s="261" t="s">
        <v>12</v>
      </c>
      <c r="F321" s="261" t="s">
        <v>168</v>
      </c>
      <c r="G321" s="9" t="s">
        <v>442</v>
      </c>
      <c r="H321" s="9" t="s">
        <v>12</v>
      </c>
      <c r="I321" s="9" t="s">
        <v>12</v>
      </c>
      <c r="J321" s="9" t="s">
        <v>13</v>
      </c>
      <c r="M321" s="262"/>
      <c r="N321" s="262"/>
      <c r="O321" s="262"/>
      <c r="P321" s="262">
        <v>41</v>
      </c>
      <c r="Q321" s="262">
        <v>41</v>
      </c>
      <c r="R321" s="262">
        <v>41</v>
      </c>
      <c r="S321" s="262">
        <v>41</v>
      </c>
      <c r="T321" s="262">
        <v>41</v>
      </c>
      <c r="U321" s="262">
        <v>41</v>
      </c>
      <c r="V321" s="262">
        <v>41</v>
      </c>
      <c r="W321" s="262">
        <v>41</v>
      </c>
      <c r="X321" s="262">
        <v>41</v>
      </c>
      <c r="Y321" s="262">
        <f t="shared" si="5"/>
        <v>369</v>
      </c>
    </row>
    <row r="322" spans="1:25" s="261" customFormat="1" ht="11.25" customHeight="1">
      <c r="A322" s="261">
        <v>2014</v>
      </c>
      <c r="B322" s="261" t="s">
        <v>573</v>
      </c>
      <c r="C322" s="261" t="s">
        <v>32</v>
      </c>
      <c r="D322" s="9" t="s">
        <v>32</v>
      </c>
      <c r="E322" s="261" t="s">
        <v>12</v>
      </c>
      <c r="F322" s="261" t="s">
        <v>168</v>
      </c>
      <c r="G322" s="9" t="s">
        <v>442</v>
      </c>
      <c r="H322" s="9" t="s">
        <v>12</v>
      </c>
      <c r="I322" s="9" t="s">
        <v>12</v>
      </c>
      <c r="J322" s="9" t="s">
        <v>61</v>
      </c>
      <c r="M322" s="262">
        <v>300</v>
      </c>
      <c r="N322" s="262">
        <v>300</v>
      </c>
      <c r="O322" s="262">
        <v>300</v>
      </c>
      <c r="P322" s="262">
        <v>300</v>
      </c>
      <c r="Q322" s="262">
        <v>300</v>
      </c>
      <c r="R322" s="262">
        <v>300</v>
      </c>
      <c r="S322" s="262">
        <v>300</v>
      </c>
      <c r="T322" s="262">
        <v>300</v>
      </c>
      <c r="U322" s="262">
        <v>300</v>
      </c>
      <c r="V322" s="262">
        <v>300</v>
      </c>
      <c r="W322" s="262">
        <v>300</v>
      </c>
      <c r="X322" s="262">
        <v>300</v>
      </c>
      <c r="Y322" s="262">
        <f t="shared" ref="Y322:Y385" si="6">SUM(M322:X322)</f>
        <v>3600</v>
      </c>
    </row>
    <row r="323" spans="1:25" s="261" customFormat="1" ht="11.25" customHeight="1">
      <c r="A323" s="261">
        <v>2014</v>
      </c>
      <c r="B323" s="261" t="s">
        <v>573</v>
      </c>
      <c r="C323" s="261" t="s">
        <v>32</v>
      </c>
      <c r="D323" s="9" t="s">
        <v>32</v>
      </c>
      <c r="E323" s="261" t="s">
        <v>25</v>
      </c>
      <c r="F323" s="261" t="s">
        <v>59</v>
      </c>
      <c r="G323" s="9" t="s">
        <v>442</v>
      </c>
      <c r="H323" s="9" t="s">
        <v>25</v>
      </c>
      <c r="I323" s="9" t="s">
        <v>25</v>
      </c>
      <c r="J323" s="9" t="s">
        <v>26</v>
      </c>
      <c r="M323" s="262">
        <v>3500</v>
      </c>
      <c r="N323" s="262">
        <v>3500</v>
      </c>
      <c r="O323" s="262">
        <v>3500</v>
      </c>
      <c r="P323" s="262">
        <v>3500</v>
      </c>
      <c r="Q323" s="262">
        <v>3500</v>
      </c>
      <c r="R323" s="262">
        <v>3500</v>
      </c>
      <c r="S323" s="262">
        <v>3500</v>
      </c>
      <c r="T323" s="262">
        <v>3500</v>
      </c>
      <c r="U323" s="262">
        <v>3500</v>
      </c>
      <c r="V323" s="262">
        <v>3500</v>
      </c>
      <c r="W323" s="262">
        <v>3500</v>
      </c>
      <c r="X323" s="262">
        <v>3500</v>
      </c>
      <c r="Y323" s="262">
        <f t="shared" si="6"/>
        <v>42000</v>
      </c>
    </row>
    <row r="324" spans="1:25" s="261" customFormat="1" ht="11.25" customHeight="1">
      <c r="A324" s="261">
        <v>2014</v>
      </c>
      <c r="B324" s="261" t="s">
        <v>573</v>
      </c>
      <c r="C324" s="261" t="s">
        <v>32</v>
      </c>
      <c r="D324" s="9" t="s">
        <v>32</v>
      </c>
      <c r="E324" s="261" t="s">
        <v>148</v>
      </c>
      <c r="F324" s="261" t="s">
        <v>59</v>
      </c>
      <c r="G324" s="9" t="s">
        <v>442</v>
      </c>
      <c r="H324" s="9" t="s">
        <v>148</v>
      </c>
      <c r="I324" s="9" t="s">
        <v>148</v>
      </c>
      <c r="J324" s="9" t="s">
        <v>148</v>
      </c>
      <c r="M324" s="262">
        <v>54100</v>
      </c>
      <c r="N324" s="262">
        <v>54100</v>
      </c>
      <c r="O324" s="262">
        <v>54100</v>
      </c>
      <c r="P324" s="262">
        <v>54100</v>
      </c>
      <c r="Q324" s="262">
        <v>60500</v>
      </c>
      <c r="R324" s="262">
        <v>60500</v>
      </c>
      <c r="S324" s="262">
        <v>60500</v>
      </c>
      <c r="T324" s="262">
        <v>60500</v>
      </c>
      <c r="U324" s="262">
        <v>60500</v>
      </c>
      <c r="V324" s="262">
        <v>54100</v>
      </c>
      <c r="W324" s="262">
        <v>54100</v>
      </c>
      <c r="X324" s="262">
        <v>54100</v>
      </c>
      <c r="Y324" s="262">
        <f t="shared" si="6"/>
        <v>681200</v>
      </c>
    </row>
    <row r="325" spans="1:25" s="261" customFormat="1" ht="11.25" customHeight="1">
      <c r="A325" s="261">
        <v>2014</v>
      </c>
      <c r="B325" s="261" t="s">
        <v>573</v>
      </c>
      <c r="C325" s="261" t="s">
        <v>32</v>
      </c>
      <c r="D325" s="9" t="s">
        <v>32</v>
      </c>
      <c r="E325" s="261" t="s">
        <v>37</v>
      </c>
      <c r="F325" s="261" t="s">
        <v>59</v>
      </c>
      <c r="G325" s="9" t="s">
        <v>442</v>
      </c>
      <c r="H325" s="9" t="s">
        <v>37</v>
      </c>
      <c r="I325" s="9" t="s">
        <v>37</v>
      </c>
      <c r="J325" s="9" t="s">
        <v>37</v>
      </c>
      <c r="K325" s="261" t="s">
        <v>105</v>
      </c>
      <c r="M325" s="262">
        <v>1000</v>
      </c>
      <c r="N325" s="262">
        <v>1000</v>
      </c>
      <c r="O325" s="262">
        <v>1000</v>
      </c>
      <c r="P325" s="262">
        <v>1000</v>
      </c>
      <c r="Q325" s="262">
        <v>1000</v>
      </c>
      <c r="R325" s="262">
        <v>1000</v>
      </c>
      <c r="S325" s="262">
        <v>1000</v>
      </c>
      <c r="T325" s="262">
        <v>1000</v>
      </c>
      <c r="U325" s="262">
        <v>1000</v>
      </c>
      <c r="V325" s="262">
        <v>1000</v>
      </c>
      <c r="W325" s="262">
        <v>1000</v>
      </c>
      <c r="X325" s="262">
        <v>1000</v>
      </c>
      <c r="Y325" s="262">
        <f t="shared" si="6"/>
        <v>12000</v>
      </c>
    </row>
    <row r="326" spans="1:25" s="261" customFormat="1" ht="11.25" customHeight="1">
      <c r="A326" s="261">
        <v>2014</v>
      </c>
      <c r="B326" s="261" t="s">
        <v>573</v>
      </c>
      <c r="C326" s="261" t="s">
        <v>32</v>
      </c>
      <c r="D326" s="9" t="s">
        <v>32</v>
      </c>
      <c r="E326" s="261" t="s">
        <v>27</v>
      </c>
      <c r="F326" s="261" t="s">
        <v>59</v>
      </c>
      <c r="G326" s="9" t="s">
        <v>442</v>
      </c>
      <c r="H326" s="9" t="s">
        <v>27</v>
      </c>
      <c r="I326" s="9" t="s">
        <v>27</v>
      </c>
      <c r="J326" s="9" t="s">
        <v>28</v>
      </c>
      <c r="M326" s="262">
        <v>300</v>
      </c>
      <c r="N326" s="262">
        <v>300</v>
      </c>
      <c r="O326" s="262">
        <v>300</v>
      </c>
      <c r="P326" s="262">
        <v>300</v>
      </c>
      <c r="Q326" s="262">
        <v>300</v>
      </c>
      <c r="R326" s="262">
        <v>300</v>
      </c>
      <c r="S326" s="262">
        <v>300</v>
      </c>
      <c r="T326" s="262">
        <v>300</v>
      </c>
      <c r="U326" s="262">
        <v>300</v>
      </c>
      <c r="V326" s="262">
        <v>300</v>
      </c>
      <c r="W326" s="262">
        <v>300</v>
      </c>
      <c r="X326" s="262">
        <v>300</v>
      </c>
      <c r="Y326" s="262">
        <f t="shared" si="6"/>
        <v>3600</v>
      </c>
    </row>
    <row r="327" spans="1:25" s="261" customFormat="1" ht="11.25" customHeight="1">
      <c r="A327" s="261">
        <v>2014</v>
      </c>
      <c r="B327" s="261" t="s">
        <v>573</v>
      </c>
      <c r="C327" s="261" t="s">
        <v>32</v>
      </c>
      <c r="D327" s="9" t="s">
        <v>32</v>
      </c>
      <c r="E327" s="261" t="s">
        <v>27</v>
      </c>
      <c r="F327" s="261" t="s">
        <v>59</v>
      </c>
      <c r="G327" s="9" t="s">
        <v>442</v>
      </c>
      <c r="H327" s="9" t="s">
        <v>27</v>
      </c>
      <c r="I327" s="9" t="s">
        <v>27</v>
      </c>
      <c r="J327" s="9" t="s">
        <v>60</v>
      </c>
      <c r="M327" s="262">
        <v>400</v>
      </c>
      <c r="N327" s="262">
        <v>400</v>
      </c>
      <c r="O327" s="262">
        <v>400</v>
      </c>
      <c r="P327" s="262">
        <v>400</v>
      </c>
      <c r="Q327" s="262">
        <v>400</v>
      </c>
      <c r="R327" s="262">
        <v>400</v>
      </c>
      <c r="S327" s="262">
        <v>400</v>
      </c>
      <c r="T327" s="262">
        <v>400</v>
      </c>
      <c r="U327" s="262">
        <v>400</v>
      </c>
      <c r="V327" s="262">
        <v>400</v>
      </c>
      <c r="W327" s="262">
        <v>400</v>
      </c>
      <c r="X327" s="262">
        <v>400</v>
      </c>
      <c r="Y327" s="262">
        <f t="shared" si="6"/>
        <v>4800</v>
      </c>
    </row>
    <row r="328" spans="1:25" s="261" customFormat="1" ht="11.25" customHeight="1">
      <c r="A328" s="261">
        <v>2014</v>
      </c>
      <c r="B328" s="261" t="s">
        <v>573</v>
      </c>
      <c r="C328" s="261" t="s">
        <v>32</v>
      </c>
      <c r="D328" s="9" t="s">
        <v>32</v>
      </c>
      <c r="E328" s="261" t="s">
        <v>149</v>
      </c>
      <c r="F328" s="261" t="s">
        <v>59</v>
      </c>
      <c r="G328" s="9" t="s">
        <v>442</v>
      </c>
      <c r="H328" s="9" t="s">
        <v>149</v>
      </c>
      <c r="I328" s="9" t="s">
        <v>149</v>
      </c>
      <c r="J328" s="9" t="s">
        <v>150</v>
      </c>
      <c r="M328" s="262">
        <v>6755.61</v>
      </c>
      <c r="N328" s="262">
        <v>6755.61</v>
      </c>
      <c r="O328" s="262">
        <v>6755.61</v>
      </c>
      <c r="P328" s="262">
        <v>6755.61</v>
      </c>
      <c r="Q328" s="262">
        <v>7779.54</v>
      </c>
      <c r="R328" s="262">
        <v>7779.54</v>
      </c>
      <c r="S328" s="262">
        <v>7779.54</v>
      </c>
      <c r="T328" s="262">
        <v>7779.54</v>
      </c>
      <c r="U328" s="262">
        <v>7779.54</v>
      </c>
      <c r="V328" s="262">
        <v>6755.61</v>
      </c>
      <c r="W328" s="262">
        <v>6755.61</v>
      </c>
      <c r="X328" s="262">
        <v>6755.61</v>
      </c>
      <c r="Y328" s="262">
        <f t="shared" si="6"/>
        <v>86186.97</v>
      </c>
    </row>
    <row r="329" spans="1:25" s="261" customFormat="1" ht="11.25" customHeight="1">
      <c r="A329" s="261">
        <v>2014</v>
      </c>
      <c r="B329" s="261" t="s">
        <v>573</v>
      </c>
      <c r="C329" s="261" t="s">
        <v>32</v>
      </c>
      <c r="D329" s="9" t="s">
        <v>32</v>
      </c>
      <c r="E329" s="261" t="s">
        <v>18</v>
      </c>
      <c r="F329" s="261" t="s">
        <v>59</v>
      </c>
      <c r="G329" s="9" t="s">
        <v>442</v>
      </c>
      <c r="H329" s="9" t="s">
        <v>18</v>
      </c>
      <c r="I329" s="9" t="s">
        <v>18</v>
      </c>
      <c r="J329" s="9" t="s">
        <v>43</v>
      </c>
      <c r="K329" s="261" t="s">
        <v>105</v>
      </c>
      <c r="M329" s="262">
        <v>1600</v>
      </c>
      <c r="N329" s="262">
        <v>1600</v>
      </c>
      <c r="O329" s="262">
        <v>1600</v>
      </c>
      <c r="P329" s="262">
        <v>1600</v>
      </c>
      <c r="Q329" s="262">
        <v>1600</v>
      </c>
      <c r="R329" s="262">
        <v>1600</v>
      </c>
      <c r="S329" s="262">
        <v>1600</v>
      </c>
      <c r="T329" s="262">
        <v>1600</v>
      </c>
      <c r="U329" s="262">
        <v>1600</v>
      </c>
      <c r="V329" s="262">
        <v>1600</v>
      </c>
      <c r="W329" s="262">
        <v>1600</v>
      </c>
      <c r="X329" s="262">
        <v>1600</v>
      </c>
      <c r="Y329" s="262">
        <f t="shared" si="6"/>
        <v>19200</v>
      </c>
    </row>
    <row r="330" spans="1:25" s="261" customFormat="1" ht="11.25" customHeight="1">
      <c r="A330" s="261">
        <v>2014</v>
      </c>
      <c r="B330" s="261" t="s">
        <v>573</v>
      </c>
      <c r="C330" s="261" t="s">
        <v>32</v>
      </c>
      <c r="D330" s="9" t="s">
        <v>32</v>
      </c>
      <c r="E330" s="261" t="s">
        <v>18</v>
      </c>
      <c r="F330" s="261" t="s">
        <v>59</v>
      </c>
      <c r="G330" s="9" t="s">
        <v>442</v>
      </c>
      <c r="H330" s="9" t="s">
        <v>18</v>
      </c>
      <c r="I330" s="9" t="s">
        <v>18</v>
      </c>
      <c r="J330" s="9" t="s">
        <v>43</v>
      </c>
      <c r="K330" s="261" t="s">
        <v>102</v>
      </c>
      <c r="M330" s="262">
        <v>1400</v>
      </c>
      <c r="N330" s="262">
        <v>1400</v>
      </c>
      <c r="O330" s="262">
        <v>1400</v>
      </c>
      <c r="P330" s="262">
        <v>1400</v>
      </c>
      <c r="Q330" s="262">
        <v>1400</v>
      </c>
      <c r="R330" s="262">
        <v>1400</v>
      </c>
      <c r="S330" s="262">
        <v>1400</v>
      </c>
      <c r="T330" s="262">
        <v>1400</v>
      </c>
      <c r="U330" s="262">
        <v>1400</v>
      </c>
      <c r="V330" s="262">
        <v>1400</v>
      </c>
      <c r="W330" s="262">
        <v>1400</v>
      </c>
      <c r="X330" s="262">
        <v>1400</v>
      </c>
      <c r="Y330" s="262">
        <f t="shared" si="6"/>
        <v>16800</v>
      </c>
    </row>
    <row r="331" spans="1:25" s="261" customFormat="1" ht="11.25" customHeight="1">
      <c r="A331" s="261">
        <v>2014</v>
      </c>
      <c r="B331" s="261" t="s">
        <v>573</v>
      </c>
      <c r="C331" s="261" t="s">
        <v>32</v>
      </c>
      <c r="D331" s="9" t="s">
        <v>32</v>
      </c>
      <c r="E331" s="261" t="s">
        <v>18</v>
      </c>
      <c r="F331" s="261" t="s">
        <v>59</v>
      </c>
      <c r="G331" s="9" t="s">
        <v>442</v>
      </c>
      <c r="H331" s="9" t="s">
        <v>18</v>
      </c>
      <c r="I331" s="9" t="s">
        <v>18</v>
      </c>
      <c r="J331" s="9" t="s">
        <v>44</v>
      </c>
      <c r="K331" s="261" t="s">
        <v>63</v>
      </c>
      <c r="M331" s="262">
        <v>566</v>
      </c>
      <c r="N331" s="262">
        <v>566</v>
      </c>
      <c r="O331" s="262">
        <v>566</v>
      </c>
      <c r="P331" s="262">
        <v>566</v>
      </c>
      <c r="Q331" s="262">
        <v>566</v>
      </c>
      <c r="R331" s="262">
        <v>566</v>
      </c>
      <c r="S331" s="262">
        <v>566</v>
      </c>
      <c r="T331" s="262">
        <v>566</v>
      </c>
      <c r="U331" s="262">
        <v>566</v>
      </c>
      <c r="V331" s="262">
        <v>566</v>
      </c>
      <c r="W331" s="262">
        <v>566</v>
      </c>
      <c r="X331" s="262">
        <v>566</v>
      </c>
      <c r="Y331" s="262">
        <f t="shared" si="6"/>
        <v>6792</v>
      </c>
    </row>
    <row r="332" spans="1:25" s="261" customFormat="1" ht="11.25" customHeight="1">
      <c r="A332" s="261">
        <v>2014</v>
      </c>
      <c r="B332" s="261" t="s">
        <v>573</v>
      </c>
      <c r="C332" s="261" t="s">
        <v>32</v>
      </c>
      <c r="D332" s="9" t="s">
        <v>32</v>
      </c>
      <c r="E332" s="261" t="s">
        <v>18</v>
      </c>
      <c r="F332" s="261" t="s">
        <v>59</v>
      </c>
      <c r="G332" s="9" t="s">
        <v>442</v>
      </c>
      <c r="H332" s="9" t="s">
        <v>18</v>
      </c>
      <c r="I332" s="9" t="s">
        <v>18</v>
      </c>
      <c r="J332" s="9" t="s">
        <v>44</v>
      </c>
      <c r="K332" s="261" t="s">
        <v>98</v>
      </c>
      <c r="M332" s="262">
        <v>610</v>
      </c>
      <c r="N332" s="262">
        <v>610</v>
      </c>
      <c r="O332" s="262">
        <v>610</v>
      </c>
      <c r="P332" s="262">
        <v>610</v>
      </c>
      <c r="Q332" s="262">
        <v>610</v>
      </c>
      <c r="R332" s="262">
        <v>610</v>
      </c>
      <c r="S332" s="262">
        <v>610</v>
      </c>
      <c r="T332" s="262">
        <v>610</v>
      </c>
      <c r="U332" s="262">
        <v>610</v>
      </c>
      <c r="V332" s="262">
        <v>610</v>
      </c>
      <c r="W332" s="262">
        <v>610</v>
      </c>
      <c r="X332" s="262">
        <v>610</v>
      </c>
      <c r="Y332" s="262">
        <f t="shared" si="6"/>
        <v>7320</v>
      </c>
    </row>
    <row r="333" spans="1:25" s="261" customFormat="1" ht="11.25" customHeight="1">
      <c r="A333" s="261">
        <v>2014</v>
      </c>
      <c r="B333" s="261" t="s">
        <v>573</v>
      </c>
      <c r="C333" s="261" t="s">
        <v>32</v>
      </c>
      <c r="D333" s="9" t="s">
        <v>32</v>
      </c>
      <c r="E333" s="261" t="s">
        <v>18</v>
      </c>
      <c r="F333" s="261" t="s">
        <v>59</v>
      </c>
      <c r="G333" s="9" t="s">
        <v>442</v>
      </c>
      <c r="H333" s="9" t="s">
        <v>18</v>
      </c>
      <c r="I333" s="9" t="s">
        <v>18</v>
      </c>
      <c r="J333" s="9" t="s">
        <v>44</v>
      </c>
      <c r="K333" s="261" t="s">
        <v>64</v>
      </c>
      <c r="M333" s="262">
        <v>430</v>
      </c>
      <c r="N333" s="262">
        <v>430</v>
      </c>
      <c r="O333" s="262">
        <v>430</v>
      </c>
      <c r="P333" s="262">
        <v>430</v>
      </c>
      <c r="Q333" s="262">
        <v>430</v>
      </c>
      <c r="R333" s="262">
        <v>430</v>
      </c>
      <c r="S333" s="262">
        <v>430</v>
      </c>
      <c r="T333" s="262">
        <v>430</v>
      </c>
      <c r="U333" s="262">
        <v>430</v>
      </c>
      <c r="V333" s="262">
        <v>430</v>
      </c>
      <c r="W333" s="262">
        <v>430</v>
      </c>
      <c r="X333" s="262">
        <v>430</v>
      </c>
      <c r="Y333" s="262">
        <f t="shared" si="6"/>
        <v>5160</v>
      </c>
    </row>
    <row r="334" spans="1:25" s="261" customFormat="1" ht="11.25" customHeight="1">
      <c r="A334" s="261">
        <v>2014</v>
      </c>
      <c r="B334" s="261" t="s">
        <v>573</v>
      </c>
      <c r="C334" s="261" t="s">
        <v>32</v>
      </c>
      <c r="D334" s="9" t="s">
        <v>32</v>
      </c>
      <c r="E334" s="261" t="s">
        <v>18</v>
      </c>
      <c r="F334" s="261" t="s">
        <v>59</v>
      </c>
      <c r="G334" s="9" t="s">
        <v>442</v>
      </c>
      <c r="H334" s="9" t="s">
        <v>18</v>
      </c>
      <c r="I334" s="9" t="s">
        <v>18</v>
      </c>
      <c r="J334" s="9" t="s">
        <v>44</v>
      </c>
      <c r="K334" s="261" t="s">
        <v>99</v>
      </c>
      <c r="M334" s="262">
        <v>410</v>
      </c>
      <c r="N334" s="262">
        <v>410</v>
      </c>
      <c r="O334" s="262">
        <v>410</v>
      </c>
      <c r="P334" s="262">
        <v>410</v>
      </c>
      <c r="Q334" s="262">
        <v>410</v>
      </c>
      <c r="R334" s="262">
        <v>410</v>
      </c>
      <c r="S334" s="262">
        <v>410</v>
      </c>
      <c r="T334" s="262">
        <v>410</v>
      </c>
      <c r="U334" s="262">
        <v>410</v>
      </c>
      <c r="V334" s="262">
        <v>410</v>
      </c>
      <c r="W334" s="262">
        <v>410</v>
      </c>
      <c r="X334" s="262">
        <v>410</v>
      </c>
      <c r="Y334" s="262">
        <f t="shared" si="6"/>
        <v>4920</v>
      </c>
    </row>
    <row r="335" spans="1:25" s="261" customFormat="1" ht="11.25" customHeight="1">
      <c r="A335" s="261">
        <v>2014</v>
      </c>
      <c r="B335" s="261" t="s">
        <v>573</v>
      </c>
      <c r="C335" s="261" t="s">
        <v>32</v>
      </c>
      <c r="D335" s="9" t="s">
        <v>32</v>
      </c>
      <c r="E335" s="261" t="s">
        <v>18</v>
      </c>
      <c r="F335" s="261" t="s">
        <v>59</v>
      </c>
      <c r="G335" s="9" t="s">
        <v>442</v>
      </c>
      <c r="H335" s="9" t="s">
        <v>18</v>
      </c>
      <c r="I335" s="9" t="s">
        <v>18</v>
      </c>
      <c r="J335" s="9" t="s">
        <v>44</v>
      </c>
      <c r="K335" s="261" t="s">
        <v>62</v>
      </c>
      <c r="M335" s="262">
        <v>706</v>
      </c>
      <c r="N335" s="262">
        <v>706</v>
      </c>
      <c r="O335" s="262">
        <v>706</v>
      </c>
      <c r="P335" s="262">
        <v>706</v>
      </c>
      <c r="Q335" s="262">
        <v>706</v>
      </c>
      <c r="R335" s="262">
        <v>706</v>
      </c>
      <c r="S335" s="262">
        <v>706</v>
      </c>
      <c r="T335" s="262">
        <v>706</v>
      </c>
      <c r="U335" s="262">
        <v>706</v>
      </c>
      <c r="V335" s="262">
        <v>706</v>
      </c>
      <c r="W335" s="262">
        <v>706</v>
      </c>
      <c r="X335" s="262">
        <v>706</v>
      </c>
      <c r="Y335" s="262">
        <f t="shared" si="6"/>
        <v>8472</v>
      </c>
    </row>
    <row r="336" spans="1:25" s="261" customFormat="1" ht="11.25" customHeight="1">
      <c r="A336" s="261">
        <v>2014</v>
      </c>
      <c r="B336" s="261" t="s">
        <v>573</v>
      </c>
      <c r="C336" s="261" t="s">
        <v>32</v>
      </c>
      <c r="D336" s="9" t="s">
        <v>32</v>
      </c>
      <c r="E336" s="261" t="s">
        <v>18</v>
      </c>
      <c r="F336" s="261" t="s">
        <v>59</v>
      </c>
      <c r="G336" s="9" t="s">
        <v>442</v>
      </c>
      <c r="H336" s="9" t="s">
        <v>18</v>
      </c>
      <c r="I336" s="9" t="s">
        <v>18</v>
      </c>
      <c r="J336" s="9" t="s">
        <v>44</v>
      </c>
      <c r="K336" s="261" t="s">
        <v>100</v>
      </c>
      <c r="M336" s="262">
        <v>630</v>
      </c>
      <c r="N336" s="262">
        <v>630</v>
      </c>
      <c r="O336" s="262">
        <v>630</v>
      </c>
      <c r="P336" s="262">
        <v>630</v>
      </c>
      <c r="Q336" s="262">
        <v>630</v>
      </c>
      <c r="R336" s="262">
        <v>630</v>
      </c>
      <c r="S336" s="262">
        <v>630</v>
      </c>
      <c r="T336" s="262">
        <v>630</v>
      </c>
      <c r="U336" s="262">
        <v>630</v>
      </c>
      <c r="V336" s="262">
        <v>630</v>
      </c>
      <c r="W336" s="262">
        <v>630</v>
      </c>
      <c r="X336" s="262">
        <v>630</v>
      </c>
      <c r="Y336" s="262">
        <f t="shared" si="6"/>
        <v>7560</v>
      </c>
    </row>
    <row r="337" spans="1:25" s="261" customFormat="1" ht="11.25" customHeight="1">
      <c r="A337" s="261">
        <v>2014</v>
      </c>
      <c r="B337" s="261" t="s">
        <v>573</v>
      </c>
      <c r="C337" s="261" t="s">
        <v>32</v>
      </c>
      <c r="D337" s="9" t="s">
        <v>32</v>
      </c>
      <c r="E337" s="261" t="s">
        <v>18</v>
      </c>
      <c r="F337" s="261" t="s">
        <v>59</v>
      </c>
      <c r="G337" s="9" t="s">
        <v>442</v>
      </c>
      <c r="H337" s="9" t="s">
        <v>18</v>
      </c>
      <c r="I337" s="9" t="s">
        <v>18</v>
      </c>
      <c r="J337" s="9" t="s">
        <v>44</v>
      </c>
      <c r="K337" s="261" t="s">
        <v>65</v>
      </c>
      <c r="M337" s="262">
        <v>400</v>
      </c>
      <c r="N337" s="262">
        <v>400</v>
      </c>
      <c r="O337" s="262">
        <v>400</v>
      </c>
      <c r="P337" s="262">
        <v>400</v>
      </c>
      <c r="Q337" s="262">
        <v>400</v>
      </c>
      <c r="R337" s="262">
        <v>400</v>
      </c>
      <c r="S337" s="262">
        <v>400</v>
      </c>
      <c r="T337" s="262">
        <v>400</v>
      </c>
      <c r="U337" s="262">
        <v>400</v>
      </c>
      <c r="V337" s="262">
        <v>400</v>
      </c>
      <c r="W337" s="262">
        <v>400</v>
      </c>
      <c r="X337" s="262">
        <v>400</v>
      </c>
      <c r="Y337" s="262">
        <f t="shared" si="6"/>
        <v>4800</v>
      </c>
    </row>
    <row r="338" spans="1:25" s="261" customFormat="1" ht="11.25" customHeight="1">
      <c r="A338" s="261">
        <v>2014</v>
      </c>
      <c r="B338" s="261" t="s">
        <v>573</v>
      </c>
      <c r="C338" s="261" t="s">
        <v>32</v>
      </c>
      <c r="D338" s="9" t="s">
        <v>32</v>
      </c>
      <c r="E338" s="261" t="s">
        <v>18</v>
      </c>
      <c r="F338" s="261" t="s">
        <v>59</v>
      </c>
      <c r="G338" s="9" t="s">
        <v>442</v>
      </c>
      <c r="H338" s="9" t="s">
        <v>18</v>
      </c>
      <c r="I338" s="9" t="s">
        <v>18</v>
      </c>
      <c r="J338" s="9" t="s">
        <v>44</v>
      </c>
      <c r="K338" s="261" t="s">
        <v>104</v>
      </c>
      <c r="M338" s="262"/>
      <c r="N338" s="262"/>
      <c r="O338" s="262"/>
      <c r="P338" s="262"/>
      <c r="Q338" s="262">
        <v>450</v>
      </c>
      <c r="R338" s="262">
        <v>450</v>
      </c>
      <c r="S338" s="262">
        <v>450</v>
      </c>
      <c r="T338" s="262">
        <v>450</v>
      </c>
      <c r="U338" s="262">
        <v>450</v>
      </c>
      <c r="V338" s="262"/>
      <c r="W338" s="262"/>
      <c r="X338" s="262"/>
      <c r="Y338" s="262">
        <f t="shared" si="6"/>
        <v>2250</v>
      </c>
    </row>
    <row r="339" spans="1:25" s="261" customFormat="1" ht="11.25" customHeight="1">
      <c r="A339" s="261">
        <v>2014</v>
      </c>
      <c r="B339" s="261" t="s">
        <v>573</v>
      </c>
      <c r="C339" s="261" t="s">
        <v>32</v>
      </c>
      <c r="D339" s="9" t="s">
        <v>32</v>
      </c>
      <c r="E339" s="261" t="s">
        <v>18</v>
      </c>
      <c r="F339" s="261" t="s">
        <v>59</v>
      </c>
      <c r="G339" s="9" t="s">
        <v>442</v>
      </c>
      <c r="H339" s="9" t="s">
        <v>18</v>
      </c>
      <c r="I339" s="9" t="s">
        <v>18</v>
      </c>
      <c r="J339" s="9" t="s">
        <v>44</v>
      </c>
      <c r="K339" s="261" t="s">
        <v>430</v>
      </c>
      <c r="M339" s="262"/>
      <c r="N339" s="262"/>
      <c r="O339" s="262"/>
      <c r="P339" s="262"/>
      <c r="Q339" s="262">
        <v>450</v>
      </c>
      <c r="R339" s="262">
        <v>450</v>
      </c>
      <c r="S339" s="262">
        <v>450</v>
      </c>
      <c r="T339" s="262">
        <v>450</v>
      </c>
      <c r="U339" s="262">
        <v>450</v>
      </c>
      <c r="V339" s="262"/>
      <c r="W339" s="262"/>
      <c r="X339" s="262"/>
      <c r="Y339" s="262">
        <f t="shared" si="6"/>
        <v>2250</v>
      </c>
    </row>
    <row r="340" spans="1:25" s="261" customFormat="1" ht="11.25" customHeight="1">
      <c r="A340" s="261">
        <v>2014</v>
      </c>
      <c r="B340" s="261" t="s">
        <v>573</v>
      </c>
      <c r="C340" s="261" t="s">
        <v>32</v>
      </c>
      <c r="D340" s="9" t="s">
        <v>32</v>
      </c>
      <c r="E340" s="261" t="s">
        <v>18</v>
      </c>
      <c r="F340" s="261" t="s">
        <v>59</v>
      </c>
      <c r="G340" s="9" t="s">
        <v>442</v>
      </c>
      <c r="H340" s="9" t="s">
        <v>18</v>
      </c>
      <c r="I340" s="9" t="s">
        <v>18</v>
      </c>
      <c r="J340" s="9" t="s">
        <v>44</v>
      </c>
      <c r="K340" s="261" t="s">
        <v>101</v>
      </c>
      <c r="M340" s="262">
        <v>540</v>
      </c>
      <c r="N340" s="262">
        <v>540</v>
      </c>
      <c r="O340" s="262">
        <v>540</v>
      </c>
      <c r="P340" s="262">
        <v>540</v>
      </c>
      <c r="Q340" s="262">
        <v>540</v>
      </c>
      <c r="R340" s="262">
        <v>540</v>
      </c>
      <c r="S340" s="262">
        <v>540</v>
      </c>
      <c r="T340" s="262">
        <v>540</v>
      </c>
      <c r="U340" s="262">
        <v>540</v>
      </c>
      <c r="V340" s="262">
        <v>540</v>
      </c>
      <c r="W340" s="262">
        <v>540</v>
      </c>
      <c r="X340" s="262">
        <v>540</v>
      </c>
      <c r="Y340" s="262">
        <f t="shared" si="6"/>
        <v>6480</v>
      </c>
    </row>
    <row r="341" spans="1:25" s="261" customFormat="1" ht="11.25" customHeight="1">
      <c r="A341" s="261">
        <v>2014</v>
      </c>
      <c r="B341" s="261" t="s">
        <v>573</v>
      </c>
      <c r="C341" s="261" t="s">
        <v>32</v>
      </c>
      <c r="D341" s="9" t="s">
        <v>32</v>
      </c>
      <c r="E341" s="261" t="s">
        <v>18</v>
      </c>
      <c r="F341" s="261" t="s">
        <v>59</v>
      </c>
      <c r="G341" s="9" t="s">
        <v>442</v>
      </c>
      <c r="H341" s="9" t="s">
        <v>18</v>
      </c>
      <c r="I341" s="9" t="s">
        <v>18</v>
      </c>
      <c r="J341" s="9" t="s">
        <v>44</v>
      </c>
      <c r="K341" s="261" t="s">
        <v>103</v>
      </c>
      <c r="M341" s="262">
        <v>450</v>
      </c>
      <c r="N341" s="262">
        <v>450</v>
      </c>
      <c r="O341" s="262">
        <v>450</v>
      </c>
      <c r="P341" s="262">
        <v>450</v>
      </c>
      <c r="Q341" s="262">
        <v>450</v>
      </c>
      <c r="R341" s="262">
        <v>450</v>
      </c>
      <c r="S341" s="262">
        <v>450</v>
      </c>
      <c r="T341" s="262">
        <v>450</v>
      </c>
      <c r="U341" s="262">
        <v>450</v>
      </c>
      <c r="V341" s="262">
        <v>450</v>
      </c>
      <c r="W341" s="262">
        <v>450</v>
      </c>
      <c r="X341" s="262">
        <v>450</v>
      </c>
      <c r="Y341" s="262">
        <f t="shared" si="6"/>
        <v>5400</v>
      </c>
    </row>
    <row r="342" spans="1:25" s="261" customFormat="1" ht="11.25" customHeight="1">
      <c r="A342" s="261">
        <v>2014</v>
      </c>
      <c r="B342" s="261" t="s">
        <v>573</v>
      </c>
      <c r="C342" s="261" t="s">
        <v>32</v>
      </c>
      <c r="D342" s="9" t="s">
        <v>32</v>
      </c>
      <c r="E342" s="261" t="s">
        <v>18</v>
      </c>
      <c r="F342" s="261" t="s">
        <v>59</v>
      </c>
      <c r="G342" s="9" t="s">
        <v>442</v>
      </c>
      <c r="H342" s="9" t="s">
        <v>18</v>
      </c>
      <c r="I342" s="9" t="s">
        <v>18</v>
      </c>
      <c r="J342" s="9" t="s">
        <v>44</v>
      </c>
      <c r="M342" s="262">
        <v>1006</v>
      </c>
      <c r="N342" s="262">
        <v>1006</v>
      </c>
      <c r="O342" s="262">
        <v>1006</v>
      </c>
      <c r="P342" s="262">
        <v>1006</v>
      </c>
      <c r="Q342" s="262">
        <v>1006</v>
      </c>
      <c r="R342" s="262">
        <v>1006</v>
      </c>
      <c r="S342" s="262">
        <v>1006</v>
      </c>
      <c r="T342" s="262">
        <v>1006</v>
      </c>
      <c r="U342" s="262">
        <v>1006</v>
      </c>
      <c r="V342" s="262">
        <v>1006</v>
      </c>
      <c r="W342" s="262">
        <v>1006</v>
      </c>
      <c r="X342" s="262">
        <v>1006</v>
      </c>
      <c r="Y342" s="262">
        <f t="shared" si="6"/>
        <v>12072</v>
      </c>
    </row>
    <row r="343" spans="1:25" s="261" customFormat="1" ht="11.25" customHeight="1">
      <c r="A343" s="261">
        <v>2014</v>
      </c>
      <c r="B343" s="261" t="s">
        <v>574</v>
      </c>
      <c r="C343" s="261" t="s">
        <v>32</v>
      </c>
      <c r="D343" s="9" t="s">
        <v>32</v>
      </c>
      <c r="E343" s="261" t="s">
        <v>45</v>
      </c>
      <c r="F343" s="261" t="s">
        <v>59</v>
      </c>
      <c r="G343" s="9" t="s">
        <v>442</v>
      </c>
      <c r="H343" s="9" t="s">
        <v>45</v>
      </c>
      <c r="I343" s="9" t="s">
        <v>45</v>
      </c>
      <c r="J343" s="9" t="s">
        <v>46</v>
      </c>
      <c r="M343" s="262">
        <v>3650</v>
      </c>
      <c r="N343" s="262">
        <v>3870</v>
      </c>
      <c r="O343" s="262">
        <v>4980</v>
      </c>
      <c r="P343" s="262">
        <v>14890</v>
      </c>
      <c r="Q343" s="262">
        <v>11730</v>
      </c>
      <c r="R343" s="262">
        <v>13430</v>
      </c>
      <c r="S343" s="262">
        <v>11330</v>
      </c>
      <c r="T343" s="262">
        <v>9270</v>
      </c>
      <c r="U343" s="262">
        <v>5390</v>
      </c>
      <c r="V343" s="262">
        <v>4550</v>
      </c>
      <c r="W343" s="262">
        <v>4220</v>
      </c>
      <c r="X343" s="262">
        <v>4550</v>
      </c>
      <c r="Y343" s="262">
        <f t="shared" si="6"/>
        <v>91860</v>
      </c>
    </row>
    <row r="344" spans="1:25" s="261" customFormat="1" ht="11.25" customHeight="1">
      <c r="A344" s="261">
        <v>2014</v>
      </c>
      <c r="B344" s="261" t="s">
        <v>573</v>
      </c>
      <c r="C344" s="261" t="s">
        <v>32</v>
      </c>
      <c r="D344" s="9" t="s">
        <v>32</v>
      </c>
      <c r="E344" s="261" t="s">
        <v>29</v>
      </c>
      <c r="F344" s="261" t="s">
        <v>59</v>
      </c>
      <c r="G344" s="9" t="s">
        <v>442</v>
      </c>
      <c r="H344" s="9" t="s">
        <v>29</v>
      </c>
      <c r="I344" s="9" t="s">
        <v>29</v>
      </c>
      <c r="J344" s="9" t="s">
        <v>30</v>
      </c>
      <c r="M344" s="262">
        <v>100</v>
      </c>
      <c r="N344" s="262">
        <v>100</v>
      </c>
      <c r="O344" s="262">
        <v>100</v>
      </c>
      <c r="P344" s="262">
        <v>100</v>
      </c>
      <c r="Q344" s="262">
        <v>100</v>
      </c>
      <c r="R344" s="262">
        <v>100</v>
      </c>
      <c r="S344" s="262">
        <v>100</v>
      </c>
      <c r="T344" s="262">
        <v>100</v>
      </c>
      <c r="U344" s="262">
        <v>100</v>
      </c>
      <c r="V344" s="262">
        <v>100</v>
      </c>
      <c r="W344" s="262">
        <v>100</v>
      </c>
      <c r="X344" s="262">
        <v>100</v>
      </c>
      <c r="Y344" s="262">
        <f t="shared" si="6"/>
        <v>1200</v>
      </c>
    </row>
    <row r="345" spans="1:25" s="261" customFormat="1" ht="11.25" customHeight="1">
      <c r="A345" s="261">
        <v>2014</v>
      </c>
      <c r="B345" s="261" t="s">
        <v>573</v>
      </c>
      <c r="C345" s="261" t="s">
        <v>32</v>
      </c>
      <c r="D345" s="9" t="s">
        <v>32</v>
      </c>
      <c r="E345" s="261" t="s">
        <v>12</v>
      </c>
      <c r="F345" s="261" t="s">
        <v>59</v>
      </c>
      <c r="G345" s="9" t="s">
        <v>442</v>
      </c>
      <c r="H345" s="9" t="s">
        <v>12</v>
      </c>
      <c r="I345" s="9" t="s">
        <v>12</v>
      </c>
      <c r="J345" s="9" t="s">
        <v>13</v>
      </c>
      <c r="K345" s="261" t="s">
        <v>63</v>
      </c>
      <c r="M345" s="262">
        <v>41</v>
      </c>
      <c r="N345" s="262">
        <v>41</v>
      </c>
      <c r="O345" s="262">
        <v>41</v>
      </c>
      <c r="P345" s="262">
        <v>41</v>
      </c>
      <c r="Q345" s="262">
        <v>41</v>
      </c>
      <c r="R345" s="262">
        <v>41</v>
      </c>
      <c r="S345" s="262">
        <v>41</v>
      </c>
      <c r="T345" s="262">
        <v>41</v>
      </c>
      <c r="U345" s="262">
        <v>41</v>
      </c>
      <c r="V345" s="262">
        <v>41</v>
      </c>
      <c r="W345" s="262">
        <v>41</v>
      </c>
      <c r="X345" s="262">
        <v>41</v>
      </c>
      <c r="Y345" s="262">
        <f t="shared" si="6"/>
        <v>492</v>
      </c>
    </row>
    <row r="346" spans="1:25" s="261" customFormat="1" ht="11.25" customHeight="1">
      <c r="A346" s="261">
        <v>2014</v>
      </c>
      <c r="B346" s="261" t="s">
        <v>573</v>
      </c>
      <c r="C346" s="261" t="s">
        <v>32</v>
      </c>
      <c r="D346" s="9" t="s">
        <v>32</v>
      </c>
      <c r="E346" s="261" t="s">
        <v>12</v>
      </c>
      <c r="F346" s="261" t="s">
        <v>59</v>
      </c>
      <c r="G346" s="9" t="s">
        <v>442</v>
      </c>
      <c r="H346" s="9" t="s">
        <v>12</v>
      </c>
      <c r="I346" s="9" t="s">
        <v>12</v>
      </c>
      <c r="J346" s="9" t="s">
        <v>13</v>
      </c>
      <c r="K346" s="261" t="s">
        <v>98</v>
      </c>
      <c r="M346" s="262">
        <v>41</v>
      </c>
      <c r="N346" s="262">
        <v>41</v>
      </c>
      <c r="O346" s="262">
        <v>41</v>
      </c>
      <c r="P346" s="262">
        <v>41</v>
      </c>
      <c r="Q346" s="262">
        <v>41</v>
      </c>
      <c r="R346" s="262">
        <v>41</v>
      </c>
      <c r="S346" s="262">
        <v>41</v>
      </c>
      <c r="T346" s="262">
        <v>41</v>
      </c>
      <c r="U346" s="262">
        <v>41</v>
      </c>
      <c r="V346" s="262">
        <v>41</v>
      </c>
      <c r="W346" s="262">
        <v>41</v>
      </c>
      <c r="X346" s="262">
        <v>41</v>
      </c>
      <c r="Y346" s="262">
        <f t="shared" si="6"/>
        <v>492</v>
      </c>
    </row>
    <row r="347" spans="1:25" s="261" customFormat="1" ht="11.25" customHeight="1">
      <c r="A347" s="261">
        <v>2014</v>
      </c>
      <c r="B347" s="261" t="s">
        <v>573</v>
      </c>
      <c r="C347" s="261" t="s">
        <v>32</v>
      </c>
      <c r="D347" s="9" t="s">
        <v>32</v>
      </c>
      <c r="E347" s="261" t="s">
        <v>12</v>
      </c>
      <c r="F347" s="261" t="s">
        <v>59</v>
      </c>
      <c r="G347" s="9" t="s">
        <v>442</v>
      </c>
      <c r="H347" s="9" t="s">
        <v>12</v>
      </c>
      <c r="I347" s="9" t="s">
        <v>12</v>
      </c>
      <c r="J347" s="9" t="s">
        <v>13</v>
      </c>
      <c r="K347" s="261" t="s">
        <v>64</v>
      </c>
      <c r="M347" s="262">
        <v>41</v>
      </c>
      <c r="N347" s="262">
        <v>41</v>
      </c>
      <c r="O347" s="262">
        <v>41</v>
      </c>
      <c r="P347" s="262">
        <v>41</v>
      </c>
      <c r="Q347" s="262">
        <v>41</v>
      </c>
      <c r="R347" s="262">
        <v>41</v>
      </c>
      <c r="S347" s="262">
        <v>41</v>
      </c>
      <c r="T347" s="262">
        <v>41</v>
      </c>
      <c r="U347" s="262">
        <v>41</v>
      </c>
      <c r="V347" s="262">
        <v>41</v>
      </c>
      <c r="W347" s="262">
        <v>41</v>
      </c>
      <c r="X347" s="262">
        <v>41</v>
      </c>
      <c r="Y347" s="262">
        <f t="shared" si="6"/>
        <v>492</v>
      </c>
    </row>
    <row r="348" spans="1:25" s="261" customFormat="1" ht="11.25" customHeight="1">
      <c r="A348" s="261">
        <v>2014</v>
      </c>
      <c r="B348" s="261" t="s">
        <v>573</v>
      </c>
      <c r="C348" s="261" t="s">
        <v>32</v>
      </c>
      <c r="D348" s="9" t="s">
        <v>32</v>
      </c>
      <c r="E348" s="261" t="s">
        <v>12</v>
      </c>
      <c r="F348" s="261" t="s">
        <v>59</v>
      </c>
      <c r="G348" s="9" t="s">
        <v>442</v>
      </c>
      <c r="H348" s="9" t="s">
        <v>12</v>
      </c>
      <c r="I348" s="9" t="s">
        <v>12</v>
      </c>
      <c r="J348" s="9" t="s">
        <v>13</v>
      </c>
      <c r="K348" s="261" t="s">
        <v>99</v>
      </c>
      <c r="M348" s="262">
        <v>41</v>
      </c>
      <c r="N348" s="262">
        <v>41</v>
      </c>
      <c r="O348" s="262">
        <v>41</v>
      </c>
      <c r="P348" s="262">
        <v>41</v>
      </c>
      <c r="Q348" s="262">
        <v>41</v>
      </c>
      <c r="R348" s="262">
        <v>41</v>
      </c>
      <c r="S348" s="262">
        <v>41</v>
      </c>
      <c r="T348" s="262">
        <v>41</v>
      </c>
      <c r="U348" s="262">
        <v>41</v>
      </c>
      <c r="V348" s="262">
        <v>41</v>
      </c>
      <c r="W348" s="262">
        <v>41</v>
      </c>
      <c r="X348" s="262">
        <v>41</v>
      </c>
      <c r="Y348" s="262">
        <f t="shared" si="6"/>
        <v>492</v>
      </c>
    </row>
    <row r="349" spans="1:25" s="261" customFormat="1" ht="11.25" customHeight="1">
      <c r="A349" s="261">
        <v>2014</v>
      </c>
      <c r="B349" s="261" t="s">
        <v>573</v>
      </c>
      <c r="C349" s="261" t="s">
        <v>32</v>
      </c>
      <c r="D349" s="9" t="s">
        <v>32</v>
      </c>
      <c r="E349" s="261" t="s">
        <v>12</v>
      </c>
      <c r="F349" s="261" t="s">
        <v>59</v>
      </c>
      <c r="G349" s="9" t="s">
        <v>442</v>
      </c>
      <c r="H349" s="9" t="s">
        <v>12</v>
      </c>
      <c r="I349" s="9" t="s">
        <v>12</v>
      </c>
      <c r="J349" s="9" t="s">
        <v>13</v>
      </c>
      <c r="K349" s="261" t="s">
        <v>62</v>
      </c>
      <c r="M349" s="262">
        <v>41</v>
      </c>
      <c r="N349" s="262">
        <v>41</v>
      </c>
      <c r="O349" s="262">
        <v>41</v>
      </c>
      <c r="P349" s="262">
        <v>41</v>
      </c>
      <c r="Q349" s="262">
        <v>41</v>
      </c>
      <c r="R349" s="262">
        <v>41</v>
      </c>
      <c r="S349" s="262">
        <v>41</v>
      </c>
      <c r="T349" s="262">
        <v>41</v>
      </c>
      <c r="U349" s="262">
        <v>41</v>
      </c>
      <c r="V349" s="262">
        <v>41</v>
      </c>
      <c r="W349" s="262">
        <v>41</v>
      </c>
      <c r="X349" s="262">
        <v>41</v>
      </c>
      <c r="Y349" s="262">
        <f t="shared" si="6"/>
        <v>492</v>
      </c>
    </row>
    <row r="350" spans="1:25" s="261" customFormat="1" ht="11.25" customHeight="1">
      <c r="A350" s="261">
        <v>2014</v>
      </c>
      <c r="B350" s="261" t="s">
        <v>573</v>
      </c>
      <c r="C350" s="261" t="s">
        <v>32</v>
      </c>
      <c r="D350" s="9" t="s">
        <v>32</v>
      </c>
      <c r="E350" s="261" t="s">
        <v>12</v>
      </c>
      <c r="F350" s="261" t="s">
        <v>59</v>
      </c>
      <c r="G350" s="9" t="s">
        <v>442</v>
      </c>
      <c r="H350" s="9" t="s">
        <v>12</v>
      </c>
      <c r="I350" s="9" t="s">
        <v>12</v>
      </c>
      <c r="J350" s="9" t="s">
        <v>13</v>
      </c>
      <c r="K350" s="261" t="s">
        <v>105</v>
      </c>
      <c r="M350" s="262">
        <v>300</v>
      </c>
      <c r="N350" s="262">
        <v>300</v>
      </c>
      <c r="O350" s="262">
        <v>300</v>
      </c>
      <c r="P350" s="262">
        <v>300</v>
      </c>
      <c r="Q350" s="262">
        <v>300</v>
      </c>
      <c r="R350" s="262">
        <v>300</v>
      </c>
      <c r="S350" s="262">
        <v>300</v>
      </c>
      <c r="T350" s="262">
        <v>300</v>
      </c>
      <c r="U350" s="262">
        <v>300</v>
      </c>
      <c r="V350" s="262">
        <v>300</v>
      </c>
      <c r="W350" s="262">
        <v>300</v>
      </c>
      <c r="X350" s="262">
        <v>300</v>
      </c>
      <c r="Y350" s="262">
        <f t="shared" si="6"/>
        <v>3600</v>
      </c>
    </row>
    <row r="351" spans="1:25" s="261" customFormat="1" ht="11.25" customHeight="1">
      <c r="A351" s="261">
        <v>2014</v>
      </c>
      <c r="B351" s="261" t="s">
        <v>573</v>
      </c>
      <c r="C351" s="261" t="s">
        <v>32</v>
      </c>
      <c r="D351" s="9" t="s">
        <v>32</v>
      </c>
      <c r="E351" s="261" t="s">
        <v>12</v>
      </c>
      <c r="F351" s="261" t="s">
        <v>59</v>
      </c>
      <c r="G351" s="9" t="s">
        <v>442</v>
      </c>
      <c r="H351" s="9" t="s">
        <v>12</v>
      </c>
      <c r="I351" s="9" t="s">
        <v>12</v>
      </c>
      <c r="J351" s="9" t="s">
        <v>13</v>
      </c>
      <c r="K351" s="261" t="s">
        <v>100</v>
      </c>
      <c r="M351" s="262">
        <v>91</v>
      </c>
      <c r="N351" s="262">
        <v>91</v>
      </c>
      <c r="O351" s="262">
        <v>91</v>
      </c>
      <c r="P351" s="262">
        <v>91</v>
      </c>
      <c r="Q351" s="262">
        <v>91</v>
      </c>
      <c r="R351" s="262">
        <v>91</v>
      </c>
      <c r="S351" s="262">
        <v>91</v>
      </c>
      <c r="T351" s="262">
        <v>91</v>
      </c>
      <c r="U351" s="262">
        <v>91</v>
      </c>
      <c r="V351" s="262">
        <v>91</v>
      </c>
      <c r="W351" s="262">
        <v>91</v>
      </c>
      <c r="X351" s="262">
        <v>91</v>
      </c>
      <c r="Y351" s="262">
        <f t="shared" si="6"/>
        <v>1092</v>
      </c>
    </row>
    <row r="352" spans="1:25" s="261" customFormat="1" ht="11.25" customHeight="1">
      <c r="A352" s="261">
        <v>2014</v>
      </c>
      <c r="B352" s="261" t="s">
        <v>573</v>
      </c>
      <c r="C352" s="261" t="s">
        <v>32</v>
      </c>
      <c r="D352" s="9" t="s">
        <v>32</v>
      </c>
      <c r="E352" s="261" t="s">
        <v>12</v>
      </c>
      <c r="F352" s="261" t="s">
        <v>59</v>
      </c>
      <c r="G352" s="9" t="s">
        <v>442</v>
      </c>
      <c r="H352" s="9" t="s">
        <v>12</v>
      </c>
      <c r="I352" s="9" t="s">
        <v>12</v>
      </c>
      <c r="J352" s="9" t="s">
        <v>13</v>
      </c>
      <c r="K352" s="261" t="s">
        <v>65</v>
      </c>
      <c r="M352" s="262">
        <v>41</v>
      </c>
      <c r="N352" s="262">
        <v>41</v>
      </c>
      <c r="O352" s="262">
        <v>41</v>
      </c>
      <c r="P352" s="262">
        <v>41</v>
      </c>
      <c r="Q352" s="262">
        <v>41</v>
      </c>
      <c r="R352" s="262">
        <v>41</v>
      </c>
      <c r="S352" s="262">
        <v>41</v>
      </c>
      <c r="T352" s="262">
        <v>41</v>
      </c>
      <c r="U352" s="262">
        <v>41</v>
      </c>
      <c r="V352" s="262">
        <v>41</v>
      </c>
      <c r="W352" s="262">
        <v>41</v>
      </c>
      <c r="X352" s="262">
        <v>41</v>
      </c>
      <c r="Y352" s="262">
        <f t="shared" si="6"/>
        <v>492</v>
      </c>
    </row>
    <row r="353" spans="1:25" s="261" customFormat="1" ht="11.25" customHeight="1">
      <c r="A353" s="261">
        <v>2014</v>
      </c>
      <c r="B353" s="261" t="s">
        <v>573</v>
      </c>
      <c r="C353" s="261" t="s">
        <v>32</v>
      </c>
      <c r="D353" s="9" t="s">
        <v>32</v>
      </c>
      <c r="E353" s="261" t="s">
        <v>12</v>
      </c>
      <c r="F353" s="261" t="s">
        <v>59</v>
      </c>
      <c r="G353" s="9" t="s">
        <v>442</v>
      </c>
      <c r="H353" s="9" t="s">
        <v>12</v>
      </c>
      <c r="I353" s="9" t="s">
        <v>12</v>
      </c>
      <c r="J353" s="9" t="s">
        <v>13</v>
      </c>
      <c r="K353" s="261" t="s">
        <v>104</v>
      </c>
      <c r="M353" s="262">
        <v>41</v>
      </c>
      <c r="N353" s="262">
        <v>41</v>
      </c>
      <c r="O353" s="262">
        <v>41</v>
      </c>
      <c r="P353" s="262">
        <v>41</v>
      </c>
      <c r="Q353" s="262">
        <v>41</v>
      </c>
      <c r="R353" s="262">
        <v>41</v>
      </c>
      <c r="S353" s="262">
        <v>41</v>
      </c>
      <c r="T353" s="262">
        <v>41</v>
      </c>
      <c r="U353" s="262">
        <v>41</v>
      </c>
      <c r="V353" s="262">
        <v>41</v>
      </c>
      <c r="W353" s="262">
        <v>41</v>
      </c>
      <c r="X353" s="262">
        <v>41</v>
      </c>
      <c r="Y353" s="262">
        <f t="shared" si="6"/>
        <v>492</v>
      </c>
    </row>
    <row r="354" spans="1:25" s="261" customFormat="1" ht="11.25" customHeight="1">
      <c r="A354" s="261">
        <v>2014</v>
      </c>
      <c r="B354" s="261" t="s">
        <v>573</v>
      </c>
      <c r="C354" s="261" t="s">
        <v>32</v>
      </c>
      <c r="D354" s="9" t="s">
        <v>32</v>
      </c>
      <c r="E354" s="261" t="s">
        <v>12</v>
      </c>
      <c r="F354" s="261" t="s">
        <v>59</v>
      </c>
      <c r="G354" s="9" t="s">
        <v>442</v>
      </c>
      <c r="H354" s="9" t="s">
        <v>12</v>
      </c>
      <c r="I354" s="9" t="s">
        <v>12</v>
      </c>
      <c r="J354" s="9" t="s">
        <v>13</v>
      </c>
      <c r="K354" s="261" t="s">
        <v>101</v>
      </c>
      <c r="M354" s="262">
        <v>41</v>
      </c>
      <c r="N354" s="262">
        <v>41</v>
      </c>
      <c r="O354" s="262">
        <v>41</v>
      </c>
      <c r="P354" s="262">
        <v>41</v>
      </c>
      <c r="Q354" s="262">
        <v>41</v>
      </c>
      <c r="R354" s="262">
        <v>41</v>
      </c>
      <c r="S354" s="262">
        <v>41</v>
      </c>
      <c r="T354" s="262">
        <v>41</v>
      </c>
      <c r="U354" s="262">
        <v>41</v>
      </c>
      <c r="V354" s="262">
        <v>41</v>
      </c>
      <c r="W354" s="262">
        <v>41</v>
      </c>
      <c r="X354" s="262">
        <v>41</v>
      </c>
      <c r="Y354" s="262">
        <f t="shared" si="6"/>
        <v>492</v>
      </c>
    </row>
    <row r="355" spans="1:25" s="261" customFormat="1" ht="11.25" customHeight="1">
      <c r="A355" s="261">
        <v>2014</v>
      </c>
      <c r="B355" s="261" t="s">
        <v>573</v>
      </c>
      <c r="C355" s="261" t="s">
        <v>32</v>
      </c>
      <c r="D355" s="9" t="s">
        <v>32</v>
      </c>
      <c r="E355" s="261" t="s">
        <v>12</v>
      </c>
      <c r="F355" s="261" t="s">
        <v>59</v>
      </c>
      <c r="G355" s="9" t="s">
        <v>442</v>
      </c>
      <c r="H355" s="9" t="s">
        <v>12</v>
      </c>
      <c r="I355" s="9" t="s">
        <v>12</v>
      </c>
      <c r="J355" s="9" t="s">
        <v>13</v>
      </c>
      <c r="K355" s="261" t="s">
        <v>103</v>
      </c>
      <c r="M355" s="262">
        <v>41</v>
      </c>
      <c r="N355" s="262">
        <v>41</v>
      </c>
      <c r="O355" s="262">
        <v>41</v>
      </c>
      <c r="P355" s="262">
        <v>41</v>
      </c>
      <c r="Q355" s="262">
        <v>41</v>
      </c>
      <c r="R355" s="262">
        <v>41</v>
      </c>
      <c r="S355" s="262">
        <v>41</v>
      </c>
      <c r="T355" s="262">
        <v>41</v>
      </c>
      <c r="U355" s="262">
        <v>41</v>
      </c>
      <c r="V355" s="262">
        <v>41</v>
      </c>
      <c r="W355" s="262">
        <v>41</v>
      </c>
      <c r="X355" s="262">
        <v>41</v>
      </c>
      <c r="Y355" s="262">
        <f t="shared" si="6"/>
        <v>492</v>
      </c>
    </row>
    <row r="356" spans="1:25" s="261" customFormat="1" ht="11.25" customHeight="1">
      <c r="A356" s="261">
        <v>2014</v>
      </c>
      <c r="B356" s="261" t="s">
        <v>573</v>
      </c>
      <c r="C356" s="261" t="s">
        <v>32</v>
      </c>
      <c r="D356" s="9" t="s">
        <v>32</v>
      </c>
      <c r="E356" s="261" t="s">
        <v>12</v>
      </c>
      <c r="F356" s="261" t="s">
        <v>59</v>
      </c>
      <c r="G356" s="9" t="s">
        <v>442</v>
      </c>
      <c r="H356" s="9" t="s">
        <v>12</v>
      </c>
      <c r="I356" s="9" t="s">
        <v>12</v>
      </c>
      <c r="J356" s="9" t="s">
        <v>13</v>
      </c>
      <c r="K356" s="261" t="s">
        <v>102</v>
      </c>
      <c r="M356" s="262">
        <v>91</v>
      </c>
      <c r="N356" s="262">
        <v>91</v>
      </c>
      <c r="O356" s="262">
        <v>91</v>
      </c>
      <c r="P356" s="262">
        <v>91</v>
      </c>
      <c r="Q356" s="262">
        <v>91</v>
      </c>
      <c r="R356" s="262">
        <v>91</v>
      </c>
      <c r="S356" s="262">
        <v>91</v>
      </c>
      <c r="T356" s="262">
        <v>91</v>
      </c>
      <c r="U356" s="262">
        <v>91</v>
      </c>
      <c r="V356" s="262">
        <v>91</v>
      </c>
      <c r="W356" s="262">
        <v>91</v>
      </c>
      <c r="X356" s="262">
        <v>91</v>
      </c>
      <c r="Y356" s="262">
        <f t="shared" si="6"/>
        <v>1092</v>
      </c>
    </row>
    <row r="357" spans="1:25" s="261" customFormat="1" ht="11.25" customHeight="1">
      <c r="A357" s="261">
        <v>2014</v>
      </c>
      <c r="B357" s="261" t="s">
        <v>573</v>
      </c>
      <c r="C357" s="261" t="s">
        <v>32</v>
      </c>
      <c r="D357" s="9" t="s">
        <v>32</v>
      </c>
      <c r="E357" s="261" t="s">
        <v>12</v>
      </c>
      <c r="F357" s="261" t="s">
        <v>59</v>
      </c>
      <c r="G357" s="9" t="s">
        <v>442</v>
      </c>
      <c r="H357" s="9" t="s">
        <v>12</v>
      </c>
      <c r="I357" s="9" t="s">
        <v>12</v>
      </c>
      <c r="J357" s="9" t="s">
        <v>13</v>
      </c>
      <c r="M357" s="262">
        <v>41</v>
      </c>
      <c r="N357" s="262">
        <v>41</v>
      </c>
      <c r="O357" s="262">
        <v>41</v>
      </c>
      <c r="P357" s="262">
        <v>41</v>
      </c>
      <c r="Q357" s="262">
        <v>41</v>
      </c>
      <c r="R357" s="262">
        <v>41</v>
      </c>
      <c r="S357" s="262">
        <v>41</v>
      </c>
      <c r="T357" s="262">
        <v>41</v>
      </c>
      <c r="U357" s="262">
        <v>41</v>
      </c>
      <c r="V357" s="262">
        <v>41</v>
      </c>
      <c r="W357" s="262">
        <v>41</v>
      </c>
      <c r="X357" s="262">
        <v>41</v>
      </c>
      <c r="Y357" s="262">
        <f t="shared" si="6"/>
        <v>492</v>
      </c>
    </row>
    <row r="358" spans="1:25" s="261" customFormat="1" ht="11.25" customHeight="1">
      <c r="A358" s="261">
        <v>2014</v>
      </c>
      <c r="B358" s="261" t="s">
        <v>573</v>
      </c>
      <c r="C358" s="261" t="s">
        <v>32</v>
      </c>
      <c r="D358" s="9" t="s">
        <v>32</v>
      </c>
      <c r="E358" s="261" t="s">
        <v>12</v>
      </c>
      <c r="F358" s="261" t="s">
        <v>59</v>
      </c>
      <c r="G358" s="9" t="s">
        <v>442</v>
      </c>
      <c r="H358" s="9" t="s">
        <v>12</v>
      </c>
      <c r="I358" s="9" t="s">
        <v>12</v>
      </c>
      <c r="J358" s="9" t="s">
        <v>61</v>
      </c>
      <c r="M358" s="262">
        <v>400</v>
      </c>
      <c r="N358" s="262">
        <v>400</v>
      </c>
      <c r="O358" s="262">
        <v>400</v>
      </c>
      <c r="P358" s="262">
        <v>400</v>
      </c>
      <c r="Q358" s="262">
        <v>400</v>
      </c>
      <c r="R358" s="262">
        <v>400</v>
      </c>
      <c r="S358" s="262">
        <v>400</v>
      </c>
      <c r="T358" s="262">
        <v>400</v>
      </c>
      <c r="U358" s="262">
        <v>400</v>
      </c>
      <c r="V358" s="262">
        <v>400</v>
      </c>
      <c r="W358" s="262">
        <v>400</v>
      </c>
      <c r="X358" s="262">
        <v>400</v>
      </c>
      <c r="Y358" s="262">
        <f t="shared" si="6"/>
        <v>4800</v>
      </c>
    </row>
    <row r="359" spans="1:25" s="261" customFormat="1" ht="11.25" customHeight="1">
      <c r="A359" s="261">
        <v>2014</v>
      </c>
      <c r="B359" s="261" t="s">
        <v>573</v>
      </c>
      <c r="C359" s="261" t="s">
        <v>32</v>
      </c>
      <c r="D359" s="9" t="s">
        <v>32</v>
      </c>
      <c r="E359" s="261" t="s">
        <v>148</v>
      </c>
      <c r="F359" s="261" t="s">
        <v>66</v>
      </c>
      <c r="G359" s="9" t="s">
        <v>442</v>
      </c>
      <c r="H359" s="9" t="s">
        <v>148</v>
      </c>
      <c r="I359" s="9" t="s">
        <v>148</v>
      </c>
      <c r="J359" s="9" t="s">
        <v>148</v>
      </c>
      <c r="M359" s="262">
        <v>233110</v>
      </c>
      <c r="N359" s="262">
        <v>233110</v>
      </c>
      <c r="O359" s="262">
        <v>233110</v>
      </c>
      <c r="P359" s="262">
        <v>236310</v>
      </c>
      <c r="Q359" s="262">
        <v>239910</v>
      </c>
      <c r="R359" s="262">
        <v>239910</v>
      </c>
      <c r="S359" s="262">
        <v>239910</v>
      </c>
      <c r="T359" s="262">
        <v>239910</v>
      </c>
      <c r="U359" s="262">
        <v>239910</v>
      </c>
      <c r="V359" s="262">
        <v>236310</v>
      </c>
      <c r="W359" s="262">
        <v>236310</v>
      </c>
      <c r="X359" s="262">
        <v>236310</v>
      </c>
      <c r="Y359" s="262">
        <f t="shared" si="6"/>
        <v>2844120</v>
      </c>
    </row>
    <row r="360" spans="1:25" s="261" customFormat="1" ht="11.25" customHeight="1">
      <c r="A360" s="261">
        <v>2014</v>
      </c>
      <c r="B360" s="261" t="s">
        <v>573</v>
      </c>
      <c r="C360" s="261" t="s">
        <v>32</v>
      </c>
      <c r="D360" s="9" t="s">
        <v>32</v>
      </c>
      <c r="E360" s="261" t="s">
        <v>37</v>
      </c>
      <c r="F360" s="261" t="s">
        <v>66</v>
      </c>
      <c r="G360" s="9" t="s">
        <v>442</v>
      </c>
      <c r="H360" s="9" t="s">
        <v>37</v>
      </c>
      <c r="I360" s="9" t="s">
        <v>37</v>
      </c>
      <c r="J360" s="9" t="s">
        <v>37</v>
      </c>
      <c r="K360" s="261" t="s">
        <v>70</v>
      </c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>
        <f t="shared" si="6"/>
        <v>0</v>
      </c>
    </row>
    <row r="361" spans="1:25" s="261" customFormat="1" ht="11.25" customHeight="1">
      <c r="A361" s="261">
        <v>2014</v>
      </c>
      <c r="B361" s="261" t="s">
        <v>573</v>
      </c>
      <c r="C361" s="261" t="s">
        <v>32</v>
      </c>
      <c r="D361" s="9" t="s">
        <v>32</v>
      </c>
      <c r="E361" s="261" t="s">
        <v>37</v>
      </c>
      <c r="F361" s="261" t="s">
        <v>66</v>
      </c>
      <c r="G361" s="9" t="s">
        <v>442</v>
      </c>
      <c r="H361" s="9" t="s">
        <v>37</v>
      </c>
      <c r="I361" s="9" t="s">
        <v>37</v>
      </c>
      <c r="J361" s="9" t="s">
        <v>37</v>
      </c>
      <c r="K361" s="261" t="s">
        <v>68</v>
      </c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>
        <f t="shared" si="6"/>
        <v>0</v>
      </c>
    </row>
    <row r="362" spans="1:25" s="261" customFormat="1" ht="11.25" customHeight="1">
      <c r="A362" s="261">
        <v>2014</v>
      </c>
      <c r="B362" s="261" t="s">
        <v>573</v>
      </c>
      <c r="C362" s="261" t="s">
        <v>32</v>
      </c>
      <c r="D362" s="9" t="s">
        <v>32</v>
      </c>
      <c r="E362" s="261" t="s">
        <v>37</v>
      </c>
      <c r="F362" s="261" t="s">
        <v>66</v>
      </c>
      <c r="G362" s="9" t="s">
        <v>442</v>
      </c>
      <c r="H362" s="9" t="s">
        <v>37</v>
      </c>
      <c r="I362" s="9" t="s">
        <v>37</v>
      </c>
      <c r="J362" s="9" t="s">
        <v>37</v>
      </c>
      <c r="K362" s="261" t="s">
        <v>69</v>
      </c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>
        <f t="shared" si="6"/>
        <v>0</v>
      </c>
    </row>
    <row r="363" spans="1:25" s="261" customFormat="1" ht="11.25" customHeight="1">
      <c r="A363" s="261">
        <v>2014</v>
      </c>
      <c r="B363" s="261" t="s">
        <v>573</v>
      </c>
      <c r="C363" s="261" t="s">
        <v>32</v>
      </c>
      <c r="D363" s="9" t="s">
        <v>32</v>
      </c>
      <c r="E363" s="261" t="s">
        <v>149</v>
      </c>
      <c r="F363" s="261" t="s">
        <v>66</v>
      </c>
      <c r="G363" s="9" t="s">
        <v>442</v>
      </c>
      <c r="H363" s="9" t="s">
        <v>149</v>
      </c>
      <c r="I363" s="9" t="s">
        <v>149</v>
      </c>
      <c r="J363" s="9" t="s">
        <v>150</v>
      </c>
      <c r="M363" s="262">
        <v>23507.06</v>
      </c>
      <c r="N363" s="262">
        <v>23507.06</v>
      </c>
      <c r="O363" s="262">
        <v>23507.06</v>
      </c>
      <c r="P363" s="262">
        <v>24019.02</v>
      </c>
      <c r="Q363" s="262">
        <v>24530.99</v>
      </c>
      <c r="R363" s="262">
        <v>24530.99</v>
      </c>
      <c r="S363" s="262">
        <v>24530.99</v>
      </c>
      <c r="T363" s="262">
        <v>24530.99</v>
      </c>
      <c r="U363" s="262">
        <v>24530.99</v>
      </c>
      <c r="V363" s="262">
        <v>24019.02</v>
      </c>
      <c r="W363" s="262">
        <v>24019.02</v>
      </c>
      <c r="X363" s="262">
        <v>24019.02</v>
      </c>
      <c r="Y363" s="262">
        <f t="shared" si="6"/>
        <v>289252.21000000002</v>
      </c>
    </row>
    <row r="364" spans="1:25" s="261" customFormat="1" ht="11.25" customHeight="1">
      <c r="A364" s="261">
        <v>2014</v>
      </c>
      <c r="B364" s="261" t="s">
        <v>573</v>
      </c>
      <c r="C364" s="261" t="s">
        <v>32</v>
      </c>
      <c r="D364" s="9" t="s">
        <v>32</v>
      </c>
      <c r="E364" s="261" t="s">
        <v>18</v>
      </c>
      <c r="F364" s="261" t="s">
        <v>66</v>
      </c>
      <c r="G364" s="9" t="s">
        <v>442</v>
      </c>
      <c r="H364" s="9" t="s">
        <v>18</v>
      </c>
      <c r="I364" s="9" t="s">
        <v>18</v>
      </c>
      <c r="J364" s="9" t="s">
        <v>34</v>
      </c>
      <c r="K364" s="261" t="s">
        <v>70</v>
      </c>
      <c r="M364" s="262">
        <v>200</v>
      </c>
      <c r="N364" s="262">
        <v>200</v>
      </c>
      <c r="O364" s="262">
        <v>200</v>
      </c>
      <c r="P364" s="262">
        <v>200</v>
      </c>
      <c r="Q364" s="262">
        <v>200</v>
      </c>
      <c r="R364" s="262">
        <v>200</v>
      </c>
      <c r="S364" s="262">
        <v>200</v>
      </c>
      <c r="T364" s="262">
        <v>200</v>
      </c>
      <c r="U364" s="262">
        <v>200</v>
      </c>
      <c r="V364" s="262">
        <v>200</v>
      </c>
      <c r="W364" s="262">
        <v>200</v>
      </c>
      <c r="X364" s="262">
        <v>200</v>
      </c>
      <c r="Y364" s="262">
        <f t="shared" si="6"/>
        <v>2400</v>
      </c>
    </row>
    <row r="365" spans="1:25" s="261" customFormat="1" ht="11.25" customHeight="1">
      <c r="A365" s="261">
        <v>2014</v>
      </c>
      <c r="B365" s="261" t="s">
        <v>573</v>
      </c>
      <c r="C365" s="261" t="s">
        <v>32</v>
      </c>
      <c r="D365" s="9" t="s">
        <v>32</v>
      </c>
      <c r="E365" s="261" t="s">
        <v>18</v>
      </c>
      <c r="F365" s="261" t="s">
        <v>66</v>
      </c>
      <c r="G365" s="9" t="s">
        <v>442</v>
      </c>
      <c r="H365" s="9" t="s">
        <v>18</v>
      </c>
      <c r="I365" s="9" t="s">
        <v>18</v>
      </c>
      <c r="J365" s="9" t="s">
        <v>34</v>
      </c>
      <c r="K365" s="261" t="s">
        <v>71</v>
      </c>
      <c r="M365" s="262">
        <v>200</v>
      </c>
      <c r="N365" s="262">
        <v>200</v>
      </c>
      <c r="O365" s="262">
        <v>200</v>
      </c>
      <c r="P365" s="262">
        <v>200</v>
      </c>
      <c r="Q365" s="262">
        <v>200</v>
      </c>
      <c r="R365" s="262">
        <v>200</v>
      </c>
      <c r="S365" s="262">
        <v>200</v>
      </c>
      <c r="T365" s="262">
        <v>200</v>
      </c>
      <c r="U365" s="262">
        <v>200</v>
      </c>
      <c r="V365" s="262">
        <v>200</v>
      </c>
      <c r="W365" s="262">
        <v>200</v>
      </c>
      <c r="X365" s="262">
        <v>200</v>
      </c>
      <c r="Y365" s="262">
        <f t="shared" si="6"/>
        <v>2400</v>
      </c>
    </row>
    <row r="366" spans="1:25" s="261" customFormat="1" ht="11.25" customHeight="1">
      <c r="A366" s="261">
        <v>2014</v>
      </c>
      <c r="B366" s="261" t="s">
        <v>573</v>
      </c>
      <c r="C366" s="261" t="s">
        <v>32</v>
      </c>
      <c r="D366" s="9" t="s">
        <v>32</v>
      </c>
      <c r="E366" s="261" t="s">
        <v>18</v>
      </c>
      <c r="F366" s="261" t="s">
        <v>66</v>
      </c>
      <c r="G366" s="9" t="s">
        <v>442</v>
      </c>
      <c r="H366" s="9" t="s">
        <v>18</v>
      </c>
      <c r="I366" s="9" t="s">
        <v>18</v>
      </c>
      <c r="J366" s="9" t="s">
        <v>34</v>
      </c>
      <c r="K366" s="261" t="s">
        <v>73</v>
      </c>
      <c r="M366" s="262">
        <v>200</v>
      </c>
      <c r="N366" s="262">
        <v>200</v>
      </c>
      <c r="O366" s="262">
        <v>200</v>
      </c>
      <c r="P366" s="262">
        <v>200</v>
      </c>
      <c r="Q366" s="262">
        <v>200</v>
      </c>
      <c r="R366" s="262">
        <v>200</v>
      </c>
      <c r="S366" s="262">
        <v>200</v>
      </c>
      <c r="T366" s="262">
        <v>200</v>
      </c>
      <c r="U366" s="262">
        <v>200</v>
      </c>
      <c r="V366" s="262">
        <v>200</v>
      </c>
      <c r="W366" s="262">
        <v>200</v>
      </c>
      <c r="X366" s="262">
        <v>200</v>
      </c>
      <c r="Y366" s="262">
        <f t="shared" si="6"/>
        <v>2400</v>
      </c>
    </row>
    <row r="367" spans="1:25" s="261" customFormat="1" ht="11.25" customHeight="1">
      <c r="A367" s="261">
        <v>2014</v>
      </c>
      <c r="B367" s="261" t="s">
        <v>573</v>
      </c>
      <c r="C367" s="261" t="s">
        <v>32</v>
      </c>
      <c r="D367" s="9" t="s">
        <v>32</v>
      </c>
      <c r="E367" s="261" t="s">
        <v>18</v>
      </c>
      <c r="F367" s="261" t="s">
        <v>66</v>
      </c>
      <c r="G367" s="9" t="s">
        <v>442</v>
      </c>
      <c r="H367" s="9" t="s">
        <v>18</v>
      </c>
      <c r="I367" s="9" t="s">
        <v>18</v>
      </c>
      <c r="J367" s="9" t="s">
        <v>34</v>
      </c>
      <c r="K367" s="261" t="s">
        <v>68</v>
      </c>
      <c r="M367" s="262">
        <v>200</v>
      </c>
      <c r="N367" s="262">
        <v>200</v>
      </c>
      <c r="O367" s="262">
        <v>200</v>
      </c>
      <c r="P367" s="262">
        <v>200</v>
      </c>
      <c r="Q367" s="262">
        <v>200</v>
      </c>
      <c r="R367" s="262">
        <v>200</v>
      </c>
      <c r="S367" s="262">
        <v>200</v>
      </c>
      <c r="T367" s="262">
        <v>200</v>
      </c>
      <c r="U367" s="262">
        <v>200</v>
      </c>
      <c r="V367" s="262">
        <v>200</v>
      </c>
      <c r="W367" s="262">
        <v>200</v>
      </c>
      <c r="X367" s="262">
        <v>200</v>
      </c>
      <c r="Y367" s="262">
        <f t="shared" si="6"/>
        <v>2400</v>
      </c>
    </row>
    <row r="368" spans="1:25" s="261" customFormat="1" ht="11.25" customHeight="1">
      <c r="A368" s="261">
        <v>2014</v>
      </c>
      <c r="B368" s="261" t="s">
        <v>573</v>
      </c>
      <c r="C368" s="261" t="s">
        <v>32</v>
      </c>
      <c r="D368" s="9" t="s">
        <v>32</v>
      </c>
      <c r="E368" s="261" t="s">
        <v>18</v>
      </c>
      <c r="F368" s="261" t="s">
        <v>66</v>
      </c>
      <c r="G368" s="9" t="s">
        <v>442</v>
      </c>
      <c r="H368" s="9" t="s">
        <v>18</v>
      </c>
      <c r="I368" s="9" t="s">
        <v>18</v>
      </c>
      <c r="J368" s="9" t="s">
        <v>34</v>
      </c>
      <c r="K368" s="261" t="s">
        <v>69</v>
      </c>
      <c r="M368" s="262">
        <v>200</v>
      </c>
      <c r="N368" s="262">
        <v>200</v>
      </c>
      <c r="O368" s="262">
        <v>200</v>
      </c>
      <c r="P368" s="262">
        <v>200</v>
      </c>
      <c r="Q368" s="262">
        <v>200</v>
      </c>
      <c r="R368" s="262">
        <v>200</v>
      </c>
      <c r="S368" s="262">
        <v>200</v>
      </c>
      <c r="T368" s="262">
        <v>200</v>
      </c>
      <c r="U368" s="262">
        <v>200</v>
      </c>
      <c r="V368" s="262">
        <v>200</v>
      </c>
      <c r="W368" s="262">
        <v>200</v>
      </c>
      <c r="X368" s="262">
        <v>200</v>
      </c>
      <c r="Y368" s="262">
        <f t="shared" si="6"/>
        <v>2400</v>
      </c>
    </row>
    <row r="369" spans="1:25" s="261" customFormat="1" ht="11.25" customHeight="1">
      <c r="A369" s="261">
        <v>2014</v>
      </c>
      <c r="B369" s="261" t="s">
        <v>573</v>
      </c>
      <c r="C369" s="261" t="s">
        <v>32</v>
      </c>
      <c r="D369" s="9" t="s">
        <v>32</v>
      </c>
      <c r="E369" s="261" t="s">
        <v>18</v>
      </c>
      <c r="F369" s="261" t="s">
        <v>66</v>
      </c>
      <c r="G369" s="9" t="s">
        <v>442</v>
      </c>
      <c r="H369" s="9" t="s">
        <v>18</v>
      </c>
      <c r="I369" s="9" t="s">
        <v>18</v>
      </c>
      <c r="J369" s="9" t="s">
        <v>34</v>
      </c>
      <c r="K369" s="261" t="s">
        <v>72</v>
      </c>
      <c r="M369" s="262">
        <v>200</v>
      </c>
      <c r="N369" s="262">
        <v>200</v>
      </c>
      <c r="O369" s="262">
        <v>200</v>
      </c>
      <c r="P369" s="262">
        <v>200</v>
      </c>
      <c r="Q369" s="262">
        <v>200</v>
      </c>
      <c r="R369" s="262">
        <v>200</v>
      </c>
      <c r="S369" s="262">
        <v>200</v>
      </c>
      <c r="T369" s="262">
        <v>200</v>
      </c>
      <c r="U369" s="262">
        <v>200</v>
      </c>
      <c r="V369" s="262">
        <v>200</v>
      </c>
      <c r="W369" s="262">
        <v>200</v>
      </c>
      <c r="X369" s="262">
        <v>200</v>
      </c>
      <c r="Y369" s="262">
        <f t="shared" si="6"/>
        <v>2400</v>
      </c>
    </row>
    <row r="370" spans="1:25" s="261" customFormat="1" ht="11.25" customHeight="1">
      <c r="A370" s="261">
        <v>2014</v>
      </c>
      <c r="B370" s="261" t="s">
        <v>573</v>
      </c>
      <c r="C370" s="261" t="s">
        <v>32</v>
      </c>
      <c r="D370" s="9" t="s">
        <v>32</v>
      </c>
      <c r="E370" s="261" t="s">
        <v>18</v>
      </c>
      <c r="F370" s="261" t="s">
        <v>66</v>
      </c>
      <c r="G370" s="9" t="s">
        <v>442</v>
      </c>
      <c r="H370" s="9" t="s">
        <v>18</v>
      </c>
      <c r="I370" s="9" t="s">
        <v>18</v>
      </c>
      <c r="J370" s="9" t="s">
        <v>34</v>
      </c>
      <c r="M370" s="262">
        <v>200</v>
      </c>
      <c r="N370" s="262">
        <v>200</v>
      </c>
      <c r="O370" s="262">
        <v>200</v>
      </c>
      <c r="P370" s="262">
        <v>200</v>
      </c>
      <c r="Q370" s="262">
        <v>200</v>
      </c>
      <c r="R370" s="262">
        <v>200</v>
      </c>
      <c r="S370" s="262">
        <v>200</v>
      </c>
      <c r="T370" s="262">
        <v>200</v>
      </c>
      <c r="U370" s="262">
        <v>200</v>
      </c>
      <c r="V370" s="262">
        <v>200</v>
      </c>
      <c r="W370" s="262">
        <v>200</v>
      </c>
      <c r="X370" s="262">
        <v>200</v>
      </c>
      <c r="Y370" s="262">
        <f t="shared" si="6"/>
        <v>2400</v>
      </c>
    </row>
    <row r="371" spans="1:25" s="261" customFormat="1" ht="11.25" customHeight="1">
      <c r="A371" s="261">
        <v>2014</v>
      </c>
      <c r="B371" s="261" t="s">
        <v>573</v>
      </c>
      <c r="C371" s="261" t="s">
        <v>32</v>
      </c>
      <c r="D371" s="9" t="s">
        <v>32</v>
      </c>
      <c r="E371" s="261" t="s">
        <v>18</v>
      </c>
      <c r="F371" s="261" t="s">
        <v>66</v>
      </c>
      <c r="G371" s="9" t="s">
        <v>442</v>
      </c>
      <c r="H371" s="9" t="s">
        <v>18</v>
      </c>
      <c r="I371" s="9" t="s">
        <v>18</v>
      </c>
      <c r="J371" s="9" t="s">
        <v>43</v>
      </c>
      <c r="K371" s="261" t="s">
        <v>70</v>
      </c>
      <c r="M371" s="262">
        <v>1700</v>
      </c>
      <c r="N371" s="262">
        <v>1700</v>
      </c>
      <c r="O371" s="262">
        <v>1700</v>
      </c>
      <c r="P371" s="262">
        <v>1700</v>
      </c>
      <c r="Q371" s="262">
        <v>1700</v>
      </c>
      <c r="R371" s="262">
        <v>1700</v>
      </c>
      <c r="S371" s="262">
        <v>1700</v>
      </c>
      <c r="T371" s="262">
        <v>1700</v>
      </c>
      <c r="U371" s="262">
        <v>1700</v>
      </c>
      <c r="V371" s="262">
        <v>1700</v>
      </c>
      <c r="W371" s="262">
        <v>1700</v>
      </c>
      <c r="X371" s="262">
        <v>1700</v>
      </c>
      <c r="Y371" s="262">
        <f t="shared" si="6"/>
        <v>20400</v>
      </c>
    </row>
    <row r="372" spans="1:25" s="261" customFormat="1" ht="11.25" customHeight="1">
      <c r="A372" s="261">
        <v>2014</v>
      </c>
      <c r="B372" s="261" t="s">
        <v>573</v>
      </c>
      <c r="C372" s="261" t="s">
        <v>32</v>
      </c>
      <c r="D372" s="9" t="s">
        <v>32</v>
      </c>
      <c r="E372" s="261" t="s">
        <v>18</v>
      </c>
      <c r="F372" s="261" t="s">
        <v>66</v>
      </c>
      <c r="G372" s="9" t="s">
        <v>442</v>
      </c>
      <c r="H372" s="9" t="s">
        <v>18</v>
      </c>
      <c r="I372" s="9" t="s">
        <v>18</v>
      </c>
      <c r="J372" s="9" t="s">
        <v>43</v>
      </c>
      <c r="K372" s="261" t="s">
        <v>71</v>
      </c>
      <c r="M372" s="262">
        <v>1125</v>
      </c>
      <c r="N372" s="262">
        <v>1125</v>
      </c>
      <c r="O372" s="262">
        <v>1125</v>
      </c>
      <c r="P372" s="262">
        <v>1125</v>
      </c>
      <c r="Q372" s="262">
        <v>1125</v>
      </c>
      <c r="R372" s="262">
        <v>1125</v>
      </c>
      <c r="S372" s="262">
        <v>1125</v>
      </c>
      <c r="T372" s="262">
        <v>1125</v>
      </c>
      <c r="U372" s="262">
        <v>1125</v>
      </c>
      <c r="V372" s="262">
        <v>1125</v>
      </c>
      <c r="W372" s="262">
        <v>1125</v>
      </c>
      <c r="X372" s="262">
        <v>1125</v>
      </c>
      <c r="Y372" s="262">
        <f t="shared" si="6"/>
        <v>13500</v>
      </c>
    </row>
    <row r="373" spans="1:25" s="261" customFormat="1" ht="11.25" customHeight="1">
      <c r="A373" s="261">
        <v>2014</v>
      </c>
      <c r="B373" s="261" t="s">
        <v>573</v>
      </c>
      <c r="C373" s="261" t="s">
        <v>32</v>
      </c>
      <c r="D373" s="9" t="s">
        <v>32</v>
      </c>
      <c r="E373" s="261" t="s">
        <v>18</v>
      </c>
      <c r="F373" s="261" t="s">
        <v>66</v>
      </c>
      <c r="G373" s="9" t="s">
        <v>442</v>
      </c>
      <c r="H373" s="9" t="s">
        <v>18</v>
      </c>
      <c r="I373" s="9" t="s">
        <v>18</v>
      </c>
      <c r="J373" s="9" t="s">
        <v>43</v>
      </c>
      <c r="K373" s="261" t="s">
        <v>73</v>
      </c>
      <c r="M373" s="262">
        <v>850</v>
      </c>
      <c r="N373" s="262">
        <v>850</v>
      </c>
      <c r="O373" s="262">
        <v>850</v>
      </c>
      <c r="P373" s="262">
        <v>850</v>
      </c>
      <c r="Q373" s="262">
        <v>850</v>
      </c>
      <c r="R373" s="262">
        <v>850</v>
      </c>
      <c r="S373" s="262">
        <v>850</v>
      </c>
      <c r="T373" s="262">
        <v>850</v>
      </c>
      <c r="U373" s="262">
        <v>850</v>
      </c>
      <c r="V373" s="262">
        <v>850</v>
      </c>
      <c r="W373" s="262">
        <v>850</v>
      </c>
      <c r="X373" s="262">
        <v>850</v>
      </c>
      <c r="Y373" s="262">
        <f t="shared" si="6"/>
        <v>10200</v>
      </c>
    </row>
    <row r="374" spans="1:25" s="261" customFormat="1" ht="11.25" customHeight="1">
      <c r="A374" s="261">
        <v>2014</v>
      </c>
      <c r="B374" s="261" t="s">
        <v>573</v>
      </c>
      <c r="C374" s="261" t="s">
        <v>32</v>
      </c>
      <c r="D374" s="9" t="s">
        <v>32</v>
      </c>
      <c r="E374" s="261" t="s">
        <v>18</v>
      </c>
      <c r="F374" s="261" t="s">
        <v>66</v>
      </c>
      <c r="G374" s="9" t="s">
        <v>442</v>
      </c>
      <c r="H374" s="9" t="s">
        <v>18</v>
      </c>
      <c r="I374" s="9" t="s">
        <v>18</v>
      </c>
      <c r="J374" s="9" t="s">
        <v>43</v>
      </c>
      <c r="K374" s="261" t="s">
        <v>68</v>
      </c>
      <c r="M374" s="262">
        <v>3850</v>
      </c>
      <c r="N374" s="262">
        <v>3850</v>
      </c>
      <c r="O374" s="262">
        <v>3850</v>
      </c>
      <c r="P374" s="262">
        <v>3850</v>
      </c>
      <c r="Q374" s="262">
        <v>3850</v>
      </c>
      <c r="R374" s="262">
        <v>3850</v>
      </c>
      <c r="S374" s="262">
        <v>3850</v>
      </c>
      <c r="T374" s="262">
        <v>3850</v>
      </c>
      <c r="U374" s="262">
        <v>3850</v>
      </c>
      <c r="V374" s="262">
        <v>3850</v>
      </c>
      <c r="W374" s="262">
        <v>3850</v>
      </c>
      <c r="X374" s="262">
        <v>3850</v>
      </c>
      <c r="Y374" s="262">
        <f t="shared" si="6"/>
        <v>46200</v>
      </c>
    </row>
    <row r="375" spans="1:25" s="261" customFormat="1" ht="11.25" customHeight="1">
      <c r="A375" s="261">
        <v>2014</v>
      </c>
      <c r="B375" s="261" t="s">
        <v>573</v>
      </c>
      <c r="C375" s="261" t="s">
        <v>32</v>
      </c>
      <c r="D375" s="9" t="s">
        <v>32</v>
      </c>
      <c r="E375" s="261" t="s">
        <v>18</v>
      </c>
      <c r="F375" s="261" t="s">
        <v>66</v>
      </c>
      <c r="G375" s="9" t="s">
        <v>442</v>
      </c>
      <c r="H375" s="9" t="s">
        <v>18</v>
      </c>
      <c r="I375" s="9" t="s">
        <v>18</v>
      </c>
      <c r="J375" s="9" t="s">
        <v>43</v>
      </c>
      <c r="K375" s="261" t="s">
        <v>69</v>
      </c>
      <c r="M375" s="262">
        <v>3200</v>
      </c>
      <c r="N375" s="262">
        <v>3200</v>
      </c>
      <c r="O375" s="262">
        <v>3200</v>
      </c>
      <c r="P375" s="262">
        <v>3200</v>
      </c>
      <c r="Q375" s="262">
        <v>3200</v>
      </c>
      <c r="R375" s="262">
        <v>3200</v>
      </c>
      <c r="S375" s="262">
        <v>3200</v>
      </c>
      <c r="T375" s="262">
        <v>3200</v>
      </c>
      <c r="U375" s="262">
        <v>3200</v>
      </c>
      <c r="V375" s="262">
        <v>3200</v>
      </c>
      <c r="W375" s="262">
        <v>3200</v>
      </c>
      <c r="X375" s="262">
        <v>3200</v>
      </c>
      <c r="Y375" s="262">
        <f t="shared" si="6"/>
        <v>38400</v>
      </c>
    </row>
    <row r="376" spans="1:25" s="261" customFormat="1" ht="11.25" customHeight="1">
      <c r="A376" s="261">
        <v>2014</v>
      </c>
      <c r="B376" s="261" t="s">
        <v>573</v>
      </c>
      <c r="C376" s="261" t="s">
        <v>32</v>
      </c>
      <c r="D376" s="9" t="s">
        <v>32</v>
      </c>
      <c r="E376" s="261" t="s">
        <v>18</v>
      </c>
      <c r="F376" s="261" t="s">
        <v>66</v>
      </c>
      <c r="G376" s="9" t="s">
        <v>442</v>
      </c>
      <c r="H376" s="9" t="s">
        <v>18</v>
      </c>
      <c r="I376" s="9" t="s">
        <v>18</v>
      </c>
      <c r="J376" s="9" t="s">
        <v>43</v>
      </c>
      <c r="K376" s="261" t="s">
        <v>72</v>
      </c>
      <c r="M376" s="262">
        <v>1800</v>
      </c>
      <c r="N376" s="262">
        <v>1800</v>
      </c>
      <c r="O376" s="262">
        <v>1800</v>
      </c>
      <c r="P376" s="262">
        <v>1800</v>
      </c>
      <c r="Q376" s="262">
        <v>1800</v>
      </c>
      <c r="R376" s="262">
        <v>1800</v>
      </c>
      <c r="S376" s="262">
        <v>1800</v>
      </c>
      <c r="T376" s="262">
        <v>1800</v>
      </c>
      <c r="U376" s="262">
        <v>1800</v>
      </c>
      <c r="V376" s="262">
        <v>1800</v>
      </c>
      <c r="W376" s="262">
        <v>1800</v>
      </c>
      <c r="X376" s="262">
        <v>1800</v>
      </c>
      <c r="Y376" s="262">
        <f t="shared" si="6"/>
        <v>21600</v>
      </c>
    </row>
    <row r="377" spans="1:25" s="261" customFormat="1" ht="11.25" customHeight="1">
      <c r="A377" s="261">
        <v>2014</v>
      </c>
      <c r="B377" s="261" t="s">
        <v>573</v>
      </c>
      <c r="C377" s="261" t="s">
        <v>32</v>
      </c>
      <c r="D377" s="9" t="s">
        <v>32</v>
      </c>
      <c r="E377" s="261" t="s">
        <v>18</v>
      </c>
      <c r="F377" s="261" t="s">
        <v>66</v>
      </c>
      <c r="G377" s="9" t="s">
        <v>442</v>
      </c>
      <c r="H377" s="9" t="s">
        <v>18</v>
      </c>
      <c r="I377" s="9" t="s">
        <v>18</v>
      </c>
      <c r="J377" s="9" t="s">
        <v>43</v>
      </c>
      <c r="M377" s="262">
        <v>800</v>
      </c>
      <c r="N377" s="262">
        <v>800</v>
      </c>
      <c r="O377" s="262">
        <v>800</v>
      </c>
      <c r="P377" s="262">
        <v>800</v>
      </c>
      <c r="Q377" s="262">
        <v>800</v>
      </c>
      <c r="R377" s="262">
        <v>800</v>
      </c>
      <c r="S377" s="262">
        <v>800</v>
      </c>
      <c r="T377" s="262">
        <v>800</v>
      </c>
      <c r="U377" s="262">
        <v>800</v>
      </c>
      <c r="V377" s="262">
        <v>800</v>
      </c>
      <c r="W377" s="262">
        <v>800</v>
      </c>
      <c r="X377" s="262">
        <v>800</v>
      </c>
      <c r="Y377" s="262">
        <f t="shared" si="6"/>
        <v>9600</v>
      </c>
    </row>
    <row r="378" spans="1:25" s="261" customFormat="1" ht="11.25" customHeight="1">
      <c r="A378" s="261">
        <v>2014</v>
      </c>
      <c r="B378" s="261" t="s">
        <v>573</v>
      </c>
      <c r="C378" s="261" t="s">
        <v>32</v>
      </c>
      <c r="D378" s="9" t="s">
        <v>32</v>
      </c>
      <c r="E378" s="261" t="s">
        <v>18</v>
      </c>
      <c r="F378" s="261" t="s">
        <v>66</v>
      </c>
      <c r="G378" s="9" t="s">
        <v>442</v>
      </c>
      <c r="H378" s="9" t="s">
        <v>18</v>
      </c>
      <c r="I378" s="9" t="s">
        <v>18</v>
      </c>
      <c r="J378" s="9" t="s">
        <v>44</v>
      </c>
      <c r="K378" s="261" t="s">
        <v>268</v>
      </c>
      <c r="M378" s="262">
        <v>450</v>
      </c>
      <c r="N378" s="262">
        <v>450</v>
      </c>
      <c r="O378" s="262">
        <v>450</v>
      </c>
      <c r="P378" s="262">
        <v>450</v>
      </c>
      <c r="Q378" s="262">
        <v>450</v>
      </c>
      <c r="R378" s="262">
        <v>450</v>
      </c>
      <c r="S378" s="262">
        <v>450</v>
      </c>
      <c r="T378" s="262">
        <v>450</v>
      </c>
      <c r="U378" s="262">
        <v>450</v>
      </c>
      <c r="V378" s="262">
        <v>450</v>
      </c>
      <c r="W378" s="262">
        <v>450</v>
      </c>
      <c r="X378" s="262">
        <v>450</v>
      </c>
      <c r="Y378" s="262">
        <f t="shared" si="6"/>
        <v>5400</v>
      </c>
    </row>
    <row r="379" spans="1:25" s="261" customFormat="1" ht="11.25" customHeight="1">
      <c r="A379" s="261">
        <v>2014</v>
      </c>
      <c r="B379" s="261" t="s">
        <v>573</v>
      </c>
      <c r="C379" s="261" t="s">
        <v>32</v>
      </c>
      <c r="D379" s="9" t="s">
        <v>32</v>
      </c>
      <c r="E379" s="261" t="s">
        <v>18</v>
      </c>
      <c r="F379" s="261" t="s">
        <v>66</v>
      </c>
      <c r="G379" s="9" t="s">
        <v>442</v>
      </c>
      <c r="H379" s="9" t="s">
        <v>18</v>
      </c>
      <c r="I379" s="9" t="s">
        <v>18</v>
      </c>
      <c r="J379" s="9" t="s">
        <v>44</v>
      </c>
      <c r="K379" s="261" t="s">
        <v>114</v>
      </c>
      <c r="M379" s="262">
        <v>230</v>
      </c>
      <c r="N379" s="262">
        <v>230</v>
      </c>
      <c r="O379" s="262">
        <v>230</v>
      </c>
      <c r="P379" s="262">
        <v>230</v>
      </c>
      <c r="Q379" s="262">
        <v>230</v>
      </c>
      <c r="R379" s="262">
        <v>230</v>
      </c>
      <c r="S379" s="262">
        <v>230</v>
      </c>
      <c r="T379" s="262">
        <v>230</v>
      </c>
      <c r="U379" s="262">
        <v>230</v>
      </c>
      <c r="V379" s="262">
        <v>230</v>
      </c>
      <c r="W379" s="262">
        <v>230</v>
      </c>
      <c r="X379" s="262">
        <v>230</v>
      </c>
      <c r="Y379" s="262">
        <f t="shared" si="6"/>
        <v>2760</v>
      </c>
    </row>
    <row r="380" spans="1:25" s="261" customFormat="1" ht="11.25" customHeight="1">
      <c r="A380" s="261">
        <v>2014</v>
      </c>
      <c r="B380" s="261" t="s">
        <v>573</v>
      </c>
      <c r="C380" s="261" t="s">
        <v>32</v>
      </c>
      <c r="D380" s="9" t="s">
        <v>32</v>
      </c>
      <c r="E380" s="261" t="s">
        <v>18</v>
      </c>
      <c r="F380" s="261" t="s">
        <v>66</v>
      </c>
      <c r="G380" s="9" t="s">
        <v>442</v>
      </c>
      <c r="H380" s="9" t="s">
        <v>18</v>
      </c>
      <c r="I380" s="9" t="s">
        <v>18</v>
      </c>
      <c r="J380" s="9" t="s">
        <v>44</v>
      </c>
      <c r="K380" s="261" t="s">
        <v>269</v>
      </c>
      <c r="M380" s="262">
        <v>300</v>
      </c>
      <c r="N380" s="262">
        <v>300</v>
      </c>
      <c r="O380" s="262">
        <v>300</v>
      </c>
      <c r="P380" s="262">
        <v>300</v>
      </c>
      <c r="Q380" s="262">
        <v>300</v>
      </c>
      <c r="R380" s="262">
        <v>300</v>
      </c>
      <c r="S380" s="262">
        <v>300</v>
      </c>
      <c r="T380" s="262">
        <v>300</v>
      </c>
      <c r="U380" s="262">
        <v>300</v>
      </c>
      <c r="V380" s="262">
        <v>300</v>
      </c>
      <c r="W380" s="262">
        <v>300</v>
      </c>
      <c r="X380" s="262">
        <v>300</v>
      </c>
      <c r="Y380" s="262">
        <f t="shared" si="6"/>
        <v>3600</v>
      </c>
    </row>
    <row r="381" spans="1:25" s="261" customFormat="1" ht="11.25" customHeight="1">
      <c r="A381" s="261">
        <v>2014</v>
      </c>
      <c r="B381" s="261" t="s">
        <v>573</v>
      </c>
      <c r="C381" s="261" t="s">
        <v>32</v>
      </c>
      <c r="D381" s="9" t="s">
        <v>32</v>
      </c>
      <c r="E381" s="261" t="s">
        <v>18</v>
      </c>
      <c r="F381" s="261" t="s">
        <v>66</v>
      </c>
      <c r="G381" s="9" t="s">
        <v>442</v>
      </c>
      <c r="H381" s="9" t="s">
        <v>18</v>
      </c>
      <c r="I381" s="9" t="s">
        <v>18</v>
      </c>
      <c r="J381" s="9" t="s">
        <v>44</v>
      </c>
      <c r="K381" s="261" t="s">
        <v>108</v>
      </c>
      <c r="M381" s="262">
        <v>230</v>
      </c>
      <c r="N381" s="262">
        <v>230</v>
      </c>
      <c r="O381" s="262">
        <v>230</v>
      </c>
      <c r="P381" s="262">
        <v>230</v>
      </c>
      <c r="Q381" s="262">
        <v>230</v>
      </c>
      <c r="R381" s="262">
        <v>230</v>
      </c>
      <c r="S381" s="262">
        <v>230</v>
      </c>
      <c r="T381" s="262">
        <v>230</v>
      </c>
      <c r="U381" s="262">
        <v>230</v>
      </c>
      <c r="V381" s="262">
        <v>230</v>
      </c>
      <c r="W381" s="262">
        <v>230</v>
      </c>
      <c r="X381" s="262">
        <v>230</v>
      </c>
      <c r="Y381" s="262">
        <f t="shared" si="6"/>
        <v>2760</v>
      </c>
    </row>
    <row r="382" spans="1:25" s="261" customFormat="1" ht="11.25" customHeight="1">
      <c r="A382" s="261">
        <v>2014</v>
      </c>
      <c r="B382" s="261" t="s">
        <v>573</v>
      </c>
      <c r="C382" s="261" t="s">
        <v>32</v>
      </c>
      <c r="D382" s="9" t="s">
        <v>32</v>
      </c>
      <c r="E382" s="261" t="s">
        <v>18</v>
      </c>
      <c r="F382" s="261" t="s">
        <v>66</v>
      </c>
      <c r="G382" s="9" t="s">
        <v>442</v>
      </c>
      <c r="H382" s="9" t="s">
        <v>18</v>
      </c>
      <c r="I382" s="9" t="s">
        <v>18</v>
      </c>
      <c r="J382" s="9" t="s">
        <v>44</v>
      </c>
      <c r="K382" s="261" t="s">
        <v>122</v>
      </c>
      <c r="M382" s="262">
        <v>230</v>
      </c>
      <c r="N382" s="262">
        <v>230</v>
      </c>
      <c r="O382" s="262">
        <v>230</v>
      </c>
      <c r="P382" s="262">
        <v>230</v>
      </c>
      <c r="Q382" s="262">
        <v>230</v>
      </c>
      <c r="R382" s="262">
        <v>230</v>
      </c>
      <c r="S382" s="262">
        <v>230</v>
      </c>
      <c r="T382" s="262">
        <v>230</v>
      </c>
      <c r="U382" s="262">
        <v>230</v>
      </c>
      <c r="V382" s="262">
        <v>230</v>
      </c>
      <c r="W382" s="262">
        <v>230</v>
      </c>
      <c r="X382" s="262">
        <v>230</v>
      </c>
      <c r="Y382" s="262">
        <f t="shared" si="6"/>
        <v>2760</v>
      </c>
    </row>
    <row r="383" spans="1:25" s="261" customFormat="1" ht="11.25" customHeight="1">
      <c r="A383" s="261">
        <v>2014</v>
      </c>
      <c r="B383" s="261" t="s">
        <v>573</v>
      </c>
      <c r="C383" s="261" t="s">
        <v>32</v>
      </c>
      <c r="D383" s="9" t="s">
        <v>32</v>
      </c>
      <c r="E383" s="261" t="s">
        <v>18</v>
      </c>
      <c r="F383" s="261" t="s">
        <v>66</v>
      </c>
      <c r="G383" s="9" t="s">
        <v>442</v>
      </c>
      <c r="H383" s="9" t="s">
        <v>18</v>
      </c>
      <c r="I383" s="9" t="s">
        <v>18</v>
      </c>
      <c r="J383" s="9" t="s">
        <v>44</v>
      </c>
      <c r="K383" s="261" t="s">
        <v>271</v>
      </c>
      <c r="M383" s="262">
        <v>360</v>
      </c>
      <c r="N383" s="262">
        <v>360</v>
      </c>
      <c r="O383" s="262">
        <v>360</v>
      </c>
      <c r="P383" s="262">
        <v>360</v>
      </c>
      <c r="Q383" s="262">
        <v>360</v>
      </c>
      <c r="R383" s="262">
        <v>360</v>
      </c>
      <c r="S383" s="262">
        <v>360</v>
      </c>
      <c r="T383" s="262">
        <v>360</v>
      </c>
      <c r="U383" s="262">
        <v>360</v>
      </c>
      <c r="V383" s="262">
        <v>360</v>
      </c>
      <c r="W383" s="262">
        <v>360</v>
      </c>
      <c r="X383" s="262">
        <v>360</v>
      </c>
      <c r="Y383" s="262">
        <f t="shared" si="6"/>
        <v>4320</v>
      </c>
    </row>
    <row r="384" spans="1:25" s="261" customFormat="1" ht="11.25" customHeight="1">
      <c r="A384" s="261">
        <v>2014</v>
      </c>
      <c r="B384" s="261" t="s">
        <v>573</v>
      </c>
      <c r="C384" s="261" t="s">
        <v>32</v>
      </c>
      <c r="D384" s="9" t="s">
        <v>32</v>
      </c>
      <c r="E384" s="261" t="s">
        <v>18</v>
      </c>
      <c r="F384" s="261" t="s">
        <v>66</v>
      </c>
      <c r="G384" s="9" t="s">
        <v>442</v>
      </c>
      <c r="H384" s="9" t="s">
        <v>18</v>
      </c>
      <c r="I384" s="9" t="s">
        <v>18</v>
      </c>
      <c r="J384" s="9" t="s">
        <v>44</v>
      </c>
      <c r="K384" s="261" t="s">
        <v>127</v>
      </c>
      <c r="M384" s="262">
        <v>230</v>
      </c>
      <c r="N384" s="262">
        <v>230</v>
      </c>
      <c r="O384" s="262">
        <v>230</v>
      </c>
      <c r="P384" s="262">
        <v>230</v>
      </c>
      <c r="Q384" s="262">
        <v>230</v>
      </c>
      <c r="R384" s="262">
        <v>230</v>
      </c>
      <c r="S384" s="262">
        <v>230</v>
      </c>
      <c r="T384" s="262">
        <v>230</v>
      </c>
      <c r="U384" s="262">
        <v>230</v>
      </c>
      <c r="V384" s="262">
        <v>230</v>
      </c>
      <c r="W384" s="262">
        <v>230</v>
      </c>
      <c r="X384" s="262">
        <v>230</v>
      </c>
      <c r="Y384" s="262">
        <f t="shared" si="6"/>
        <v>2760</v>
      </c>
    </row>
    <row r="385" spans="1:25" s="261" customFormat="1" ht="11.25" customHeight="1">
      <c r="A385" s="261">
        <v>2014</v>
      </c>
      <c r="B385" s="261" t="s">
        <v>573</v>
      </c>
      <c r="C385" s="261" t="s">
        <v>32</v>
      </c>
      <c r="D385" s="9" t="s">
        <v>32</v>
      </c>
      <c r="E385" s="261" t="s">
        <v>18</v>
      </c>
      <c r="F385" s="261" t="s">
        <v>66</v>
      </c>
      <c r="G385" s="9" t="s">
        <v>442</v>
      </c>
      <c r="H385" s="9" t="s">
        <v>18</v>
      </c>
      <c r="I385" s="9" t="s">
        <v>18</v>
      </c>
      <c r="J385" s="9" t="s">
        <v>44</v>
      </c>
      <c r="K385" s="261" t="s">
        <v>117</v>
      </c>
      <c r="M385" s="262">
        <v>230</v>
      </c>
      <c r="N385" s="262">
        <v>230</v>
      </c>
      <c r="O385" s="262">
        <v>230</v>
      </c>
      <c r="P385" s="262">
        <v>230</v>
      </c>
      <c r="Q385" s="262">
        <v>230</v>
      </c>
      <c r="R385" s="262">
        <v>230</v>
      </c>
      <c r="S385" s="262">
        <v>230</v>
      </c>
      <c r="T385" s="262">
        <v>230</v>
      </c>
      <c r="U385" s="262">
        <v>230</v>
      </c>
      <c r="V385" s="262">
        <v>230</v>
      </c>
      <c r="W385" s="262">
        <v>230</v>
      </c>
      <c r="X385" s="262">
        <v>230</v>
      </c>
      <c r="Y385" s="262">
        <f t="shared" si="6"/>
        <v>2760</v>
      </c>
    </row>
    <row r="386" spans="1:25" s="261" customFormat="1" ht="11.25" customHeight="1">
      <c r="A386" s="261">
        <v>2014</v>
      </c>
      <c r="B386" s="261" t="s">
        <v>573</v>
      </c>
      <c r="C386" s="261" t="s">
        <v>32</v>
      </c>
      <c r="D386" s="9" t="s">
        <v>32</v>
      </c>
      <c r="E386" s="261" t="s">
        <v>18</v>
      </c>
      <c r="F386" s="261" t="s">
        <v>66</v>
      </c>
      <c r="G386" s="9" t="s">
        <v>442</v>
      </c>
      <c r="H386" s="9" t="s">
        <v>18</v>
      </c>
      <c r="I386" s="9" t="s">
        <v>18</v>
      </c>
      <c r="J386" s="9" t="s">
        <v>44</v>
      </c>
      <c r="K386" s="261" t="s">
        <v>113</v>
      </c>
      <c r="M386" s="262">
        <v>350</v>
      </c>
      <c r="N386" s="262">
        <v>350</v>
      </c>
      <c r="O386" s="262">
        <v>350</v>
      </c>
      <c r="P386" s="262">
        <v>350</v>
      </c>
      <c r="Q386" s="262">
        <v>350</v>
      </c>
      <c r="R386" s="262">
        <v>350</v>
      </c>
      <c r="S386" s="262">
        <v>350</v>
      </c>
      <c r="T386" s="262">
        <v>350</v>
      </c>
      <c r="U386" s="262">
        <v>350</v>
      </c>
      <c r="V386" s="262">
        <v>350</v>
      </c>
      <c r="W386" s="262">
        <v>350</v>
      </c>
      <c r="X386" s="262">
        <v>350</v>
      </c>
      <c r="Y386" s="262">
        <f t="shared" ref="Y386:Y449" si="7">SUM(M386:X386)</f>
        <v>4200</v>
      </c>
    </row>
    <row r="387" spans="1:25" s="261" customFormat="1" ht="11.25" customHeight="1">
      <c r="A387" s="261">
        <v>2014</v>
      </c>
      <c r="B387" s="261" t="s">
        <v>573</v>
      </c>
      <c r="C387" s="261" t="s">
        <v>32</v>
      </c>
      <c r="D387" s="9" t="s">
        <v>32</v>
      </c>
      <c r="E387" s="261" t="s">
        <v>18</v>
      </c>
      <c r="F387" s="261" t="s">
        <v>66</v>
      </c>
      <c r="G387" s="9" t="s">
        <v>442</v>
      </c>
      <c r="H387" s="9" t="s">
        <v>18</v>
      </c>
      <c r="I387" s="9" t="s">
        <v>18</v>
      </c>
      <c r="J387" s="9" t="s">
        <v>44</v>
      </c>
      <c r="K387" s="261" t="s">
        <v>120</v>
      </c>
      <c r="M387" s="262">
        <v>230</v>
      </c>
      <c r="N387" s="262">
        <v>230</v>
      </c>
      <c r="O387" s="262">
        <v>230</v>
      </c>
      <c r="P387" s="262">
        <v>230</v>
      </c>
      <c r="Q387" s="262">
        <v>230</v>
      </c>
      <c r="R387" s="262">
        <v>230</v>
      </c>
      <c r="S387" s="262">
        <v>230</v>
      </c>
      <c r="T387" s="262">
        <v>230</v>
      </c>
      <c r="U387" s="262">
        <v>230</v>
      </c>
      <c r="V387" s="262">
        <v>230</v>
      </c>
      <c r="W387" s="262">
        <v>230</v>
      </c>
      <c r="X387" s="262">
        <v>230</v>
      </c>
      <c r="Y387" s="262">
        <f t="shared" si="7"/>
        <v>2760</v>
      </c>
    </row>
    <row r="388" spans="1:25" s="261" customFormat="1" ht="11.25" customHeight="1">
      <c r="A388" s="261">
        <v>2014</v>
      </c>
      <c r="B388" s="261" t="s">
        <v>573</v>
      </c>
      <c r="C388" s="261" t="s">
        <v>32</v>
      </c>
      <c r="D388" s="9" t="s">
        <v>32</v>
      </c>
      <c r="E388" s="261" t="s">
        <v>18</v>
      </c>
      <c r="F388" s="261" t="s">
        <v>66</v>
      </c>
      <c r="G388" s="9" t="s">
        <v>442</v>
      </c>
      <c r="H388" s="9" t="s">
        <v>18</v>
      </c>
      <c r="I388" s="9" t="s">
        <v>18</v>
      </c>
      <c r="J388" s="9" t="s">
        <v>44</v>
      </c>
      <c r="K388" s="261" t="s">
        <v>125</v>
      </c>
      <c r="M388" s="262">
        <v>450</v>
      </c>
      <c r="N388" s="262">
        <v>450</v>
      </c>
      <c r="O388" s="262">
        <v>450</v>
      </c>
      <c r="P388" s="262">
        <v>450</v>
      </c>
      <c r="Q388" s="262">
        <v>450</v>
      </c>
      <c r="R388" s="262">
        <v>450</v>
      </c>
      <c r="S388" s="262">
        <v>450</v>
      </c>
      <c r="T388" s="262">
        <v>450</v>
      </c>
      <c r="U388" s="262">
        <v>450</v>
      </c>
      <c r="V388" s="262">
        <v>450</v>
      </c>
      <c r="W388" s="262">
        <v>450</v>
      </c>
      <c r="X388" s="262">
        <v>450</v>
      </c>
      <c r="Y388" s="262">
        <f t="shared" si="7"/>
        <v>5400</v>
      </c>
    </row>
    <row r="389" spans="1:25" s="261" customFormat="1" ht="11.25" customHeight="1">
      <c r="A389" s="261">
        <v>2014</v>
      </c>
      <c r="B389" s="261" t="s">
        <v>573</v>
      </c>
      <c r="C389" s="261" t="s">
        <v>32</v>
      </c>
      <c r="D389" s="9" t="s">
        <v>32</v>
      </c>
      <c r="E389" s="261" t="s">
        <v>18</v>
      </c>
      <c r="F389" s="261" t="s">
        <v>66</v>
      </c>
      <c r="G389" s="9" t="s">
        <v>442</v>
      </c>
      <c r="H389" s="9" t="s">
        <v>18</v>
      </c>
      <c r="I389" s="9" t="s">
        <v>18</v>
      </c>
      <c r="J389" s="9" t="s">
        <v>44</v>
      </c>
      <c r="K389" s="261" t="s">
        <v>272</v>
      </c>
      <c r="M389" s="262">
        <v>230</v>
      </c>
      <c r="N389" s="262">
        <v>230</v>
      </c>
      <c r="O389" s="262">
        <v>230</v>
      </c>
      <c r="P389" s="262">
        <v>230</v>
      </c>
      <c r="Q389" s="262">
        <v>230</v>
      </c>
      <c r="R389" s="262">
        <v>230</v>
      </c>
      <c r="S389" s="262">
        <v>230</v>
      </c>
      <c r="T389" s="262">
        <v>230</v>
      </c>
      <c r="U389" s="262">
        <v>230</v>
      </c>
      <c r="V389" s="262">
        <v>230</v>
      </c>
      <c r="W389" s="262">
        <v>230</v>
      </c>
      <c r="X389" s="262">
        <v>230</v>
      </c>
      <c r="Y389" s="262">
        <f t="shared" si="7"/>
        <v>2760</v>
      </c>
    </row>
    <row r="390" spans="1:25" s="261" customFormat="1" ht="11.25" customHeight="1">
      <c r="A390" s="261">
        <v>2014</v>
      </c>
      <c r="B390" s="261" t="s">
        <v>573</v>
      </c>
      <c r="C390" s="261" t="s">
        <v>32</v>
      </c>
      <c r="D390" s="9" t="s">
        <v>32</v>
      </c>
      <c r="E390" s="261" t="s">
        <v>18</v>
      </c>
      <c r="F390" s="261" t="s">
        <v>66</v>
      </c>
      <c r="G390" s="9" t="s">
        <v>442</v>
      </c>
      <c r="H390" s="9" t="s">
        <v>18</v>
      </c>
      <c r="I390" s="9" t="s">
        <v>18</v>
      </c>
      <c r="J390" s="9" t="s">
        <v>44</v>
      </c>
      <c r="K390" s="261" t="s">
        <v>116</v>
      </c>
      <c r="M390" s="262">
        <v>230</v>
      </c>
      <c r="N390" s="262">
        <v>230</v>
      </c>
      <c r="O390" s="262">
        <v>230</v>
      </c>
      <c r="P390" s="262">
        <v>230</v>
      </c>
      <c r="Q390" s="262">
        <v>230</v>
      </c>
      <c r="R390" s="262">
        <v>230</v>
      </c>
      <c r="S390" s="262">
        <v>230</v>
      </c>
      <c r="T390" s="262">
        <v>230</v>
      </c>
      <c r="U390" s="262">
        <v>230</v>
      </c>
      <c r="V390" s="262">
        <v>230</v>
      </c>
      <c r="W390" s="262">
        <v>230</v>
      </c>
      <c r="X390" s="262">
        <v>230</v>
      </c>
      <c r="Y390" s="262">
        <f t="shared" si="7"/>
        <v>2760</v>
      </c>
    </row>
    <row r="391" spans="1:25" s="261" customFormat="1" ht="11.25" customHeight="1">
      <c r="A391" s="261">
        <v>2014</v>
      </c>
      <c r="B391" s="261" t="s">
        <v>573</v>
      </c>
      <c r="C391" s="261" t="s">
        <v>32</v>
      </c>
      <c r="D391" s="9" t="s">
        <v>32</v>
      </c>
      <c r="E391" s="261" t="s">
        <v>18</v>
      </c>
      <c r="F391" s="261" t="s">
        <v>66</v>
      </c>
      <c r="G391" s="9" t="s">
        <v>442</v>
      </c>
      <c r="H391" s="9" t="s">
        <v>18</v>
      </c>
      <c r="I391" s="9" t="s">
        <v>18</v>
      </c>
      <c r="J391" s="9" t="s">
        <v>44</v>
      </c>
      <c r="K391" s="261" t="s">
        <v>77</v>
      </c>
      <c r="M391" s="262">
        <v>500</v>
      </c>
      <c r="N391" s="262">
        <v>500</v>
      </c>
      <c r="O391" s="262">
        <v>500</v>
      </c>
      <c r="P391" s="262">
        <v>500</v>
      </c>
      <c r="Q391" s="262">
        <v>500</v>
      </c>
      <c r="R391" s="262">
        <v>500</v>
      </c>
      <c r="S391" s="262">
        <v>500</v>
      </c>
      <c r="T391" s="262">
        <v>500</v>
      </c>
      <c r="U391" s="262">
        <v>500</v>
      </c>
      <c r="V391" s="262">
        <v>500</v>
      </c>
      <c r="W391" s="262">
        <v>500</v>
      </c>
      <c r="X391" s="262">
        <v>500</v>
      </c>
      <c r="Y391" s="262">
        <f t="shared" si="7"/>
        <v>6000</v>
      </c>
    </row>
    <row r="392" spans="1:25" s="261" customFormat="1" ht="11.25" customHeight="1">
      <c r="A392" s="261">
        <v>2014</v>
      </c>
      <c r="B392" s="261" t="s">
        <v>573</v>
      </c>
      <c r="C392" s="261" t="s">
        <v>32</v>
      </c>
      <c r="D392" s="9" t="s">
        <v>32</v>
      </c>
      <c r="E392" s="261" t="s">
        <v>18</v>
      </c>
      <c r="F392" s="261" t="s">
        <v>66</v>
      </c>
      <c r="G392" s="9" t="s">
        <v>442</v>
      </c>
      <c r="H392" s="9" t="s">
        <v>18</v>
      </c>
      <c r="I392" s="9" t="s">
        <v>18</v>
      </c>
      <c r="J392" s="9" t="s">
        <v>44</v>
      </c>
      <c r="K392" s="261" t="s">
        <v>76</v>
      </c>
      <c r="M392" s="262">
        <v>500</v>
      </c>
      <c r="N392" s="262">
        <v>500</v>
      </c>
      <c r="O392" s="262">
        <v>500</v>
      </c>
      <c r="P392" s="262">
        <v>500</v>
      </c>
      <c r="Q392" s="262">
        <v>500</v>
      </c>
      <c r="R392" s="262">
        <v>500</v>
      </c>
      <c r="S392" s="262">
        <v>500</v>
      </c>
      <c r="T392" s="262">
        <v>500</v>
      </c>
      <c r="U392" s="262">
        <v>500</v>
      </c>
      <c r="V392" s="262">
        <v>500</v>
      </c>
      <c r="W392" s="262">
        <v>500</v>
      </c>
      <c r="X392" s="262">
        <v>500</v>
      </c>
      <c r="Y392" s="262">
        <f t="shared" si="7"/>
        <v>6000</v>
      </c>
    </row>
    <row r="393" spans="1:25" s="261" customFormat="1" ht="11.25" customHeight="1">
      <c r="A393" s="261">
        <v>2014</v>
      </c>
      <c r="B393" s="261" t="s">
        <v>573</v>
      </c>
      <c r="C393" s="261" t="s">
        <v>32</v>
      </c>
      <c r="D393" s="9" t="s">
        <v>32</v>
      </c>
      <c r="E393" s="261" t="s">
        <v>18</v>
      </c>
      <c r="F393" s="261" t="s">
        <v>66</v>
      </c>
      <c r="G393" s="9" t="s">
        <v>442</v>
      </c>
      <c r="H393" s="9" t="s">
        <v>18</v>
      </c>
      <c r="I393" s="9" t="s">
        <v>18</v>
      </c>
      <c r="J393" s="9" t="s">
        <v>44</v>
      </c>
      <c r="K393" s="261" t="s">
        <v>75</v>
      </c>
      <c r="M393" s="262">
        <v>500</v>
      </c>
      <c r="N393" s="262">
        <v>500</v>
      </c>
      <c r="O393" s="262">
        <v>500</v>
      </c>
      <c r="P393" s="262">
        <v>500</v>
      </c>
      <c r="Q393" s="262">
        <v>500</v>
      </c>
      <c r="R393" s="262">
        <v>500</v>
      </c>
      <c r="S393" s="262">
        <v>500</v>
      </c>
      <c r="T393" s="262">
        <v>500</v>
      </c>
      <c r="U393" s="262">
        <v>500</v>
      </c>
      <c r="V393" s="262">
        <v>500</v>
      </c>
      <c r="W393" s="262">
        <v>500</v>
      </c>
      <c r="X393" s="262">
        <v>500</v>
      </c>
      <c r="Y393" s="262">
        <f t="shared" si="7"/>
        <v>6000</v>
      </c>
    </row>
    <row r="394" spans="1:25" s="261" customFormat="1" ht="11.25" customHeight="1">
      <c r="A394" s="261">
        <v>2014</v>
      </c>
      <c r="B394" s="261" t="s">
        <v>573</v>
      </c>
      <c r="C394" s="261" t="s">
        <v>32</v>
      </c>
      <c r="D394" s="9" t="s">
        <v>32</v>
      </c>
      <c r="E394" s="261" t="s">
        <v>18</v>
      </c>
      <c r="F394" s="261" t="s">
        <v>66</v>
      </c>
      <c r="G394" s="9" t="s">
        <v>442</v>
      </c>
      <c r="H394" s="9" t="s">
        <v>18</v>
      </c>
      <c r="I394" s="9" t="s">
        <v>18</v>
      </c>
      <c r="J394" s="9" t="s">
        <v>44</v>
      </c>
      <c r="K394" s="261" t="s">
        <v>267</v>
      </c>
      <c r="M394" s="262">
        <v>450</v>
      </c>
      <c r="N394" s="262">
        <v>450</v>
      </c>
      <c r="O394" s="262">
        <v>450</v>
      </c>
      <c r="P394" s="262">
        <v>450</v>
      </c>
      <c r="Q394" s="262">
        <v>450</v>
      </c>
      <c r="R394" s="262">
        <v>450</v>
      </c>
      <c r="S394" s="262">
        <v>450</v>
      </c>
      <c r="T394" s="262">
        <v>450</v>
      </c>
      <c r="U394" s="262">
        <v>450</v>
      </c>
      <c r="V394" s="262">
        <v>450</v>
      </c>
      <c r="W394" s="262">
        <v>450</v>
      </c>
      <c r="X394" s="262">
        <v>450</v>
      </c>
      <c r="Y394" s="262">
        <f t="shared" si="7"/>
        <v>5400</v>
      </c>
    </row>
    <row r="395" spans="1:25" s="261" customFormat="1" ht="11.25" customHeight="1">
      <c r="A395" s="261">
        <v>2014</v>
      </c>
      <c r="B395" s="261" t="s">
        <v>573</v>
      </c>
      <c r="C395" s="261" t="s">
        <v>32</v>
      </c>
      <c r="D395" s="9" t="s">
        <v>32</v>
      </c>
      <c r="E395" s="261" t="s">
        <v>18</v>
      </c>
      <c r="F395" s="261" t="s">
        <v>66</v>
      </c>
      <c r="G395" s="9" t="s">
        <v>442</v>
      </c>
      <c r="H395" s="9" t="s">
        <v>18</v>
      </c>
      <c r="I395" s="9" t="s">
        <v>18</v>
      </c>
      <c r="J395" s="9" t="s">
        <v>44</v>
      </c>
      <c r="K395" s="261" t="s">
        <v>129</v>
      </c>
      <c r="M395" s="262">
        <v>230</v>
      </c>
      <c r="N395" s="262">
        <v>230</v>
      </c>
      <c r="O395" s="262">
        <v>230</v>
      </c>
      <c r="P395" s="262">
        <v>230</v>
      </c>
      <c r="Q395" s="262">
        <v>230</v>
      </c>
      <c r="R395" s="262">
        <v>230</v>
      </c>
      <c r="S395" s="262">
        <v>230</v>
      </c>
      <c r="T395" s="262">
        <v>230</v>
      </c>
      <c r="U395" s="262">
        <v>230</v>
      </c>
      <c r="V395" s="262">
        <v>230</v>
      </c>
      <c r="W395" s="262">
        <v>230</v>
      </c>
      <c r="X395" s="262">
        <v>230</v>
      </c>
      <c r="Y395" s="262">
        <f t="shared" si="7"/>
        <v>2760</v>
      </c>
    </row>
    <row r="396" spans="1:25" s="261" customFormat="1" ht="11.25" customHeight="1">
      <c r="A396" s="261">
        <v>2014</v>
      </c>
      <c r="B396" s="261" t="s">
        <v>573</v>
      </c>
      <c r="C396" s="261" t="s">
        <v>32</v>
      </c>
      <c r="D396" s="9" t="s">
        <v>32</v>
      </c>
      <c r="E396" s="261" t="s">
        <v>18</v>
      </c>
      <c r="F396" s="261" t="s">
        <v>66</v>
      </c>
      <c r="G396" s="9" t="s">
        <v>442</v>
      </c>
      <c r="H396" s="9" t="s">
        <v>18</v>
      </c>
      <c r="I396" s="9" t="s">
        <v>18</v>
      </c>
      <c r="J396" s="9" t="s">
        <v>44</v>
      </c>
      <c r="K396" s="261" t="s">
        <v>112</v>
      </c>
      <c r="M396" s="262">
        <v>230</v>
      </c>
      <c r="N396" s="262">
        <v>230</v>
      </c>
      <c r="O396" s="262">
        <v>230</v>
      </c>
      <c r="P396" s="262">
        <v>230</v>
      </c>
      <c r="Q396" s="262">
        <v>230</v>
      </c>
      <c r="R396" s="262">
        <v>230</v>
      </c>
      <c r="S396" s="262">
        <v>230</v>
      </c>
      <c r="T396" s="262">
        <v>230</v>
      </c>
      <c r="U396" s="262">
        <v>230</v>
      </c>
      <c r="V396" s="262">
        <v>230</v>
      </c>
      <c r="W396" s="262">
        <v>230</v>
      </c>
      <c r="X396" s="262">
        <v>230</v>
      </c>
      <c r="Y396" s="262">
        <f t="shared" si="7"/>
        <v>2760</v>
      </c>
    </row>
    <row r="397" spans="1:25" s="261" customFormat="1" ht="11.25" customHeight="1">
      <c r="A397" s="261">
        <v>2014</v>
      </c>
      <c r="B397" s="261" t="s">
        <v>573</v>
      </c>
      <c r="C397" s="261" t="s">
        <v>32</v>
      </c>
      <c r="D397" s="9" t="s">
        <v>32</v>
      </c>
      <c r="E397" s="261" t="s">
        <v>18</v>
      </c>
      <c r="F397" s="261" t="s">
        <v>66</v>
      </c>
      <c r="G397" s="9" t="s">
        <v>442</v>
      </c>
      <c r="H397" s="9" t="s">
        <v>18</v>
      </c>
      <c r="I397" s="9" t="s">
        <v>18</v>
      </c>
      <c r="J397" s="9" t="s">
        <v>44</v>
      </c>
      <c r="K397" s="261" t="s">
        <v>107</v>
      </c>
      <c r="M397" s="262">
        <v>230</v>
      </c>
      <c r="N397" s="262">
        <v>230</v>
      </c>
      <c r="O397" s="262">
        <v>230</v>
      </c>
      <c r="P397" s="262">
        <v>230</v>
      </c>
      <c r="Q397" s="262">
        <v>230</v>
      </c>
      <c r="R397" s="262">
        <v>230</v>
      </c>
      <c r="S397" s="262">
        <v>230</v>
      </c>
      <c r="T397" s="262">
        <v>230</v>
      </c>
      <c r="U397" s="262">
        <v>230</v>
      </c>
      <c r="V397" s="262">
        <v>230</v>
      </c>
      <c r="W397" s="262">
        <v>230</v>
      </c>
      <c r="X397" s="262">
        <v>230</v>
      </c>
      <c r="Y397" s="262">
        <f t="shared" si="7"/>
        <v>2760</v>
      </c>
    </row>
    <row r="398" spans="1:25" s="261" customFormat="1" ht="11.25" customHeight="1">
      <c r="A398" s="261">
        <v>2014</v>
      </c>
      <c r="B398" s="261" t="s">
        <v>573</v>
      </c>
      <c r="C398" s="261" t="s">
        <v>32</v>
      </c>
      <c r="D398" s="9" t="s">
        <v>32</v>
      </c>
      <c r="E398" s="261" t="s">
        <v>18</v>
      </c>
      <c r="F398" s="261" t="s">
        <v>66</v>
      </c>
      <c r="G398" s="9" t="s">
        <v>442</v>
      </c>
      <c r="H398" s="9" t="s">
        <v>18</v>
      </c>
      <c r="I398" s="9" t="s">
        <v>18</v>
      </c>
      <c r="J398" s="9" t="s">
        <v>44</v>
      </c>
      <c r="K398" s="261" t="s">
        <v>110</v>
      </c>
      <c r="M398" s="262">
        <v>230</v>
      </c>
      <c r="N398" s="262">
        <v>230</v>
      </c>
      <c r="O398" s="262">
        <v>230</v>
      </c>
      <c r="P398" s="262">
        <v>230</v>
      </c>
      <c r="Q398" s="262">
        <v>230</v>
      </c>
      <c r="R398" s="262">
        <v>230</v>
      </c>
      <c r="S398" s="262">
        <v>230</v>
      </c>
      <c r="T398" s="262">
        <v>230</v>
      </c>
      <c r="U398" s="262">
        <v>230</v>
      </c>
      <c r="V398" s="262">
        <v>230</v>
      </c>
      <c r="W398" s="262">
        <v>230</v>
      </c>
      <c r="X398" s="262">
        <v>230</v>
      </c>
      <c r="Y398" s="262">
        <f t="shared" si="7"/>
        <v>2760</v>
      </c>
    </row>
    <row r="399" spans="1:25" s="261" customFormat="1" ht="11.25" customHeight="1">
      <c r="A399" s="261">
        <v>2014</v>
      </c>
      <c r="B399" s="261" t="s">
        <v>573</v>
      </c>
      <c r="C399" s="261" t="s">
        <v>32</v>
      </c>
      <c r="D399" s="9" t="s">
        <v>32</v>
      </c>
      <c r="E399" s="261" t="s">
        <v>18</v>
      </c>
      <c r="F399" s="261" t="s">
        <v>66</v>
      </c>
      <c r="G399" s="9" t="s">
        <v>442</v>
      </c>
      <c r="H399" s="9" t="s">
        <v>18</v>
      </c>
      <c r="I399" s="9" t="s">
        <v>18</v>
      </c>
      <c r="J399" s="9" t="s">
        <v>44</v>
      </c>
      <c r="K399" s="261" t="s">
        <v>123</v>
      </c>
      <c r="M399" s="262">
        <v>230</v>
      </c>
      <c r="N399" s="262">
        <v>230</v>
      </c>
      <c r="O399" s="262">
        <v>230</v>
      </c>
      <c r="P399" s="262">
        <v>230</v>
      </c>
      <c r="Q399" s="262">
        <v>230</v>
      </c>
      <c r="R399" s="262">
        <v>230</v>
      </c>
      <c r="S399" s="262">
        <v>230</v>
      </c>
      <c r="T399" s="262">
        <v>230</v>
      </c>
      <c r="U399" s="262">
        <v>230</v>
      </c>
      <c r="V399" s="262">
        <v>230</v>
      </c>
      <c r="W399" s="262">
        <v>230</v>
      </c>
      <c r="X399" s="262">
        <v>230</v>
      </c>
      <c r="Y399" s="262">
        <f t="shared" si="7"/>
        <v>2760</v>
      </c>
    </row>
    <row r="400" spans="1:25" s="261" customFormat="1" ht="11.25" customHeight="1">
      <c r="A400" s="261">
        <v>2014</v>
      </c>
      <c r="B400" s="261" t="s">
        <v>573</v>
      </c>
      <c r="C400" s="261" t="s">
        <v>32</v>
      </c>
      <c r="D400" s="9" t="s">
        <v>32</v>
      </c>
      <c r="E400" s="261" t="s">
        <v>18</v>
      </c>
      <c r="F400" s="261" t="s">
        <v>66</v>
      </c>
      <c r="G400" s="9" t="s">
        <v>442</v>
      </c>
      <c r="H400" s="9" t="s">
        <v>18</v>
      </c>
      <c r="I400" s="9" t="s">
        <v>18</v>
      </c>
      <c r="J400" s="9" t="s">
        <v>44</v>
      </c>
      <c r="K400" s="261" t="s">
        <v>126</v>
      </c>
      <c r="M400" s="262">
        <v>500</v>
      </c>
      <c r="N400" s="262">
        <v>500</v>
      </c>
      <c r="O400" s="262">
        <v>500</v>
      </c>
      <c r="P400" s="262">
        <v>500</v>
      </c>
      <c r="Q400" s="262">
        <v>500</v>
      </c>
      <c r="R400" s="262">
        <v>500</v>
      </c>
      <c r="S400" s="262">
        <v>500</v>
      </c>
      <c r="T400" s="262">
        <v>500</v>
      </c>
      <c r="U400" s="262">
        <v>500</v>
      </c>
      <c r="V400" s="262">
        <v>500</v>
      </c>
      <c r="W400" s="262">
        <v>500</v>
      </c>
      <c r="X400" s="262">
        <v>500</v>
      </c>
      <c r="Y400" s="262">
        <f t="shared" si="7"/>
        <v>6000</v>
      </c>
    </row>
    <row r="401" spans="1:25" s="261" customFormat="1" ht="11.25" customHeight="1">
      <c r="A401" s="261">
        <v>2014</v>
      </c>
      <c r="B401" s="261" t="s">
        <v>573</v>
      </c>
      <c r="C401" s="261" t="s">
        <v>32</v>
      </c>
      <c r="D401" s="9" t="s">
        <v>32</v>
      </c>
      <c r="E401" s="261" t="s">
        <v>18</v>
      </c>
      <c r="F401" s="261" t="s">
        <v>66</v>
      </c>
      <c r="G401" s="9" t="s">
        <v>442</v>
      </c>
      <c r="H401" s="9" t="s">
        <v>18</v>
      </c>
      <c r="I401" s="9" t="s">
        <v>18</v>
      </c>
      <c r="J401" s="9" t="s">
        <v>44</v>
      </c>
      <c r="K401" s="261" t="s">
        <v>264</v>
      </c>
      <c r="M401" s="262">
        <v>450</v>
      </c>
      <c r="N401" s="262">
        <v>450</v>
      </c>
      <c r="O401" s="262">
        <v>450</v>
      </c>
      <c r="P401" s="262">
        <v>450</v>
      </c>
      <c r="Q401" s="262">
        <v>450</v>
      </c>
      <c r="R401" s="262">
        <v>450</v>
      </c>
      <c r="S401" s="262">
        <v>450</v>
      </c>
      <c r="T401" s="262">
        <v>450</v>
      </c>
      <c r="U401" s="262">
        <v>450</v>
      </c>
      <c r="V401" s="262">
        <v>450</v>
      </c>
      <c r="W401" s="262">
        <v>450</v>
      </c>
      <c r="X401" s="262">
        <v>450</v>
      </c>
      <c r="Y401" s="262">
        <f t="shared" si="7"/>
        <v>5400</v>
      </c>
    </row>
    <row r="402" spans="1:25" s="261" customFormat="1" ht="11.25" customHeight="1">
      <c r="A402" s="261">
        <v>2014</v>
      </c>
      <c r="B402" s="261" t="s">
        <v>573</v>
      </c>
      <c r="C402" s="261" t="s">
        <v>32</v>
      </c>
      <c r="D402" s="9" t="s">
        <v>32</v>
      </c>
      <c r="E402" s="261" t="s">
        <v>18</v>
      </c>
      <c r="F402" s="261" t="s">
        <v>66</v>
      </c>
      <c r="G402" s="9" t="s">
        <v>442</v>
      </c>
      <c r="H402" s="9" t="s">
        <v>18</v>
      </c>
      <c r="I402" s="9" t="s">
        <v>18</v>
      </c>
      <c r="J402" s="9" t="s">
        <v>44</v>
      </c>
      <c r="K402" s="261" t="s">
        <v>273</v>
      </c>
      <c r="M402" s="262">
        <v>600</v>
      </c>
      <c r="N402" s="262">
        <v>600</v>
      </c>
      <c r="O402" s="262">
        <v>600</v>
      </c>
      <c r="P402" s="262">
        <v>600</v>
      </c>
      <c r="Q402" s="262">
        <v>600</v>
      </c>
      <c r="R402" s="262">
        <v>600</v>
      </c>
      <c r="S402" s="262">
        <v>600</v>
      </c>
      <c r="T402" s="262">
        <v>600</v>
      </c>
      <c r="U402" s="262">
        <v>600</v>
      </c>
      <c r="V402" s="262">
        <v>600</v>
      </c>
      <c r="W402" s="262">
        <v>600</v>
      </c>
      <c r="X402" s="262">
        <v>600</v>
      </c>
      <c r="Y402" s="262">
        <f t="shared" si="7"/>
        <v>7200</v>
      </c>
    </row>
    <row r="403" spans="1:25" s="261" customFormat="1" ht="11.25" customHeight="1">
      <c r="A403" s="261">
        <v>2014</v>
      </c>
      <c r="B403" s="261" t="s">
        <v>573</v>
      </c>
      <c r="C403" s="261" t="s">
        <v>32</v>
      </c>
      <c r="D403" s="9" t="s">
        <v>32</v>
      </c>
      <c r="E403" s="261" t="s">
        <v>18</v>
      </c>
      <c r="F403" s="261" t="s">
        <v>66</v>
      </c>
      <c r="G403" s="9" t="s">
        <v>442</v>
      </c>
      <c r="H403" s="9" t="s">
        <v>18</v>
      </c>
      <c r="I403" s="9" t="s">
        <v>18</v>
      </c>
      <c r="J403" s="9" t="s">
        <v>44</v>
      </c>
      <c r="K403" s="261" t="s">
        <v>106</v>
      </c>
      <c r="M403" s="262">
        <v>200</v>
      </c>
      <c r="N403" s="262">
        <v>200</v>
      </c>
      <c r="O403" s="262">
        <v>200</v>
      </c>
      <c r="P403" s="262">
        <v>200</v>
      </c>
      <c r="Q403" s="262">
        <v>200</v>
      </c>
      <c r="R403" s="262">
        <v>200</v>
      </c>
      <c r="S403" s="262">
        <v>200</v>
      </c>
      <c r="T403" s="262">
        <v>200</v>
      </c>
      <c r="U403" s="262">
        <v>200</v>
      </c>
      <c r="V403" s="262">
        <v>200</v>
      </c>
      <c r="W403" s="262">
        <v>200</v>
      </c>
      <c r="X403" s="262">
        <v>200</v>
      </c>
      <c r="Y403" s="262">
        <f t="shared" si="7"/>
        <v>2400</v>
      </c>
    </row>
    <row r="404" spans="1:25" s="261" customFormat="1" ht="11.25" customHeight="1">
      <c r="A404" s="261">
        <v>2014</v>
      </c>
      <c r="B404" s="261" t="s">
        <v>573</v>
      </c>
      <c r="C404" s="261" t="s">
        <v>32</v>
      </c>
      <c r="D404" s="9" t="s">
        <v>32</v>
      </c>
      <c r="E404" s="261" t="s">
        <v>18</v>
      </c>
      <c r="F404" s="261" t="s">
        <v>66</v>
      </c>
      <c r="G404" s="9" t="s">
        <v>442</v>
      </c>
      <c r="H404" s="9" t="s">
        <v>18</v>
      </c>
      <c r="I404" s="9" t="s">
        <v>18</v>
      </c>
      <c r="J404" s="9" t="s">
        <v>44</v>
      </c>
      <c r="K404" s="261" t="s">
        <v>124</v>
      </c>
      <c r="M404" s="262">
        <v>230</v>
      </c>
      <c r="N404" s="262">
        <v>230</v>
      </c>
      <c r="O404" s="262">
        <v>230</v>
      </c>
      <c r="P404" s="262">
        <v>230</v>
      </c>
      <c r="Q404" s="262">
        <v>230</v>
      </c>
      <c r="R404" s="262">
        <v>230</v>
      </c>
      <c r="S404" s="262">
        <v>230</v>
      </c>
      <c r="T404" s="262">
        <v>230</v>
      </c>
      <c r="U404" s="262">
        <v>230</v>
      </c>
      <c r="V404" s="262">
        <v>230</v>
      </c>
      <c r="W404" s="262">
        <v>230</v>
      </c>
      <c r="X404" s="262">
        <v>230</v>
      </c>
      <c r="Y404" s="262">
        <f t="shared" si="7"/>
        <v>2760</v>
      </c>
    </row>
    <row r="405" spans="1:25" s="261" customFormat="1" ht="11.25" customHeight="1">
      <c r="A405" s="261">
        <v>2014</v>
      </c>
      <c r="B405" s="261" t="s">
        <v>573</v>
      </c>
      <c r="C405" s="261" t="s">
        <v>32</v>
      </c>
      <c r="D405" s="9" t="s">
        <v>32</v>
      </c>
      <c r="E405" s="261" t="s">
        <v>18</v>
      </c>
      <c r="F405" s="261" t="s">
        <v>66</v>
      </c>
      <c r="G405" s="9" t="s">
        <v>442</v>
      </c>
      <c r="H405" s="9" t="s">
        <v>18</v>
      </c>
      <c r="I405" s="9" t="s">
        <v>18</v>
      </c>
      <c r="J405" s="9" t="s">
        <v>44</v>
      </c>
      <c r="K405" s="261" t="s">
        <v>118</v>
      </c>
      <c r="M405" s="262">
        <v>310</v>
      </c>
      <c r="N405" s="262">
        <v>310</v>
      </c>
      <c r="O405" s="262">
        <v>310</v>
      </c>
      <c r="P405" s="262">
        <v>310</v>
      </c>
      <c r="Q405" s="262">
        <v>310</v>
      </c>
      <c r="R405" s="262">
        <v>310</v>
      </c>
      <c r="S405" s="262">
        <v>310</v>
      </c>
      <c r="T405" s="262">
        <v>310</v>
      </c>
      <c r="U405" s="262">
        <v>310</v>
      </c>
      <c r="V405" s="262">
        <v>310</v>
      </c>
      <c r="W405" s="262">
        <v>310</v>
      </c>
      <c r="X405" s="262">
        <v>310</v>
      </c>
      <c r="Y405" s="262">
        <f t="shared" si="7"/>
        <v>3720</v>
      </c>
    </row>
    <row r="406" spans="1:25" s="261" customFormat="1" ht="11.25" customHeight="1">
      <c r="A406" s="261">
        <v>2014</v>
      </c>
      <c r="B406" s="261" t="s">
        <v>573</v>
      </c>
      <c r="C406" s="261" t="s">
        <v>32</v>
      </c>
      <c r="D406" s="9" t="s">
        <v>32</v>
      </c>
      <c r="E406" s="261" t="s">
        <v>18</v>
      </c>
      <c r="F406" s="261" t="s">
        <v>66</v>
      </c>
      <c r="G406" s="9" t="s">
        <v>442</v>
      </c>
      <c r="H406" s="9" t="s">
        <v>18</v>
      </c>
      <c r="I406" s="9" t="s">
        <v>18</v>
      </c>
      <c r="J406" s="9" t="s">
        <v>44</v>
      </c>
      <c r="K406" s="261" t="s">
        <v>266</v>
      </c>
      <c r="M406" s="262">
        <v>450</v>
      </c>
      <c r="N406" s="262">
        <v>450</v>
      </c>
      <c r="O406" s="262">
        <v>450</v>
      </c>
      <c r="P406" s="262">
        <v>450</v>
      </c>
      <c r="Q406" s="262">
        <v>450</v>
      </c>
      <c r="R406" s="262">
        <v>450</v>
      </c>
      <c r="S406" s="262">
        <v>450</v>
      </c>
      <c r="T406" s="262">
        <v>450</v>
      </c>
      <c r="U406" s="262">
        <v>450</v>
      </c>
      <c r="V406" s="262">
        <v>450</v>
      </c>
      <c r="W406" s="262">
        <v>450</v>
      </c>
      <c r="X406" s="262">
        <v>450</v>
      </c>
      <c r="Y406" s="262">
        <f t="shared" si="7"/>
        <v>5400</v>
      </c>
    </row>
    <row r="407" spans="1:25" s="261" customFormat="1" ht="11.25" customHeight="1">
      <c r="A407" s="261">
        <v>2014</v>
      </c>
      <c r="B407" s="261" t="s">
        <v>573</v>
      </c>
      <c r="C407" s="261" t="s">
        <v>32</v>
      </c>
      <c r="D407" s="9" t="s">
        <v>32</v>
      </c>
      <c r="E407" s="261" t="s">
        <v>18</v>
      </c>
      <c r="F407" s="261" t="s">
        <v>66</v>
      </c>
      <c r="G407" s="9" t="s">
        <v>442</v>
      </c>
      <c r="H407" s="9" t="s">
        <v>18</v>
      </c>
      <c r="I407" s="9" t="s">
        <v>18</v>
      </c>
      <c r="J407" s="9" t="s">
        <v>44</v>
      </c>
      <c r="K407" s="261" t="s">
        <v>128</v>
      </c>
      <c r="M407" s="262">
        <v>230</v>
      </c>
      <c r="N407" s="262">
        <v>230</v>
      </c>
      <c r="O407" s="262">
        <v>230</v>
      </c>
      <c r="P407" s="262">
        <v>230</v>
      </c>
      <c r="Q407" s="262">
        <v>230</v>
      </c>
      <c r="R407" s="262">
        <v>230</v>
      </c>
      <c r="S407" s="262">
        <v>230</v>
      </c>
      <c r="T407" s="262">
        <v>230</v>
      </c>
      <c r="U407" s="262">
        <v>230</v>
      </c>
      <c r="V407" s="262">
        <v>230</v>
      </c>
      <c r="W407" s="262">
        <v>230</v>
      </c>
      <c r="X407" s="262">
        <v>230</v>
      </c>
      <c r="Y407" s="262">
        <f t="shared" si="7"/>
        <v>2760</v>
      </c>
    </row>
    <row r="408" spans="1:25" s="261" customFormat="1" ht="11.25" customHeight="1">
      <c r="A408" s="261">
        <v>2014</v>
      </c>
      <c r="B408" s="261" t="s">
        <v>573</v>
      </c>
      <c r="C408" s="261" t="s">
        <v>32</v>
      </c>
      <c r="D408" s="9" t="s">
        <v>32</v>
      </c>
      <c r="E408" s="261" t="s">
        <v>18</v>
      </c>
      <c r="F408" s="261" t="s">
        <v>66</v>
      </c>
      <c r="G408" s="9" t="s">
        <v>442</v>
      </c>
      <c r="H408" s="9" t="s">
        <v>18</v>
      </c>
      <c r="I408" s="9" t="s">
        <v>18</v>
      </c>
      <c r="J408" s="9" t="s">
        <v>44</v>
      </c>
      <c r="K408" s="261" t="s">
        <v>270</v>
      </c>
      <c r="M408" s="262">
        <v>230</v>
      </c>
      <c r="N408" s="262">
        <v>230</v>
      </c>
      <c r="O408" s="262">
        <v>230</v>
      </c>
      <c r="P408" s="262">
        <v>230</v>
      </c>
      <c r="Q408" s="262">
        <v>230</v>
      </c>
      <c r="R408" s="262">
        <v>230</v>
      </c>
      <c r="S408" s="262">
        <v>230</v>
      </c>
      <c r="T408" s="262">
        <v>230</v>
      </c>
      <c r="U408" s="262">
        <v>230</v>
      </c>
      <c r="V408" s="262">
        <v>230</v>
      </c>
      <c r="W408" s="262">
        <v>230</v>
      </c>
      <c r="X408" s="262">
        <v>230</v>
      </c>
      <c r="Y408" s="262">
        <f t="shared" si="7"/>
        <v>2760</v>
      </c>
    </row>
    <row r="409" spans="1:25" s="261" customFormat="1" ht="11.25" customHeight="1">
      <c r="A409" s="261">
        <v>2014</v>
      </c>
      <c r="B409" s="261" t="s">
        <v>573</v>
      </c>
      <c r="C409" s="261" t="s">
        <v>32</v>
      </c>
      <c r="D409" s="9" t="s">
        <v>32</v>
      </c>
      <c r="E409" s="261" t="s">
        <v>18</v>
      </c>
      <c r="F409" s="261" t="s">
        <v>66</v>
      </c>
      <c r="G409" s="9" t="s">
        <v>442</v>
      </c>
      <c r="H409" s="9" t="s">
        <v>18</v>
      </c>
      <c r="I409" s="9" t="s">
        <v>18</v>
      </c>
      <c r="J409" s="9" t="s">
        <v>44</v>
      </c>
      <c r="K409" s="261" t="s">
        <v>115</v>
      </c>
      <c r="M409" s="262">
        <v>230</v>
      </c>
      <c r="N409" s="262">
        <v>230</v>
      </c>
      <c r="O409" s="262">
        <v>230</v>
      </c>
      <c r="P409" s="262">
        <v>230</v>
      </c>
      <c r="Q409" s="262">
        <v>230</v>
      </c>
      <c r="R409" s="262">
        <v>230</v>
      </c>
      <c r="S409" s="262">
        <v>230</v>
      </c>
      <c r="T409" s="262">
        <v>230</v>
      </c>
      <c r="U409" s="262">
        <v>230</v>
      </c>
      <c r="V409" s="262">
        <v>230</v>
      </c>
      <c r="W409" s="262">
        <v>230</v>
      </c>
      <c r="X409" s="262">
        <v>230</v>
      </c>
      <c r="Y409" s="262">
        <f t="shared" si="7"/>
        <v>2760</v>
      </c>
    </row>
    <row r="410" spans="1:25" s="261" customFormat="1" ht="11.25" customHeight="1">
      <c r="A410" s="261">
        <v>2014</v>
      </c>
      <c r="B410" s="261" t="s">
        <v>573</v>
      </c>
      <c r="C410" s="261" t="s">
        <v>32</v>
      </c>
      <c r="D410" s="9" t="s">
        <v>32</v>
      </c>
      <c r="E410" s="261" t="s">
        <v>18</v>
      </c>
      <c r="F410" s="261" t="s">
        <v>66</v>
      </c>
      <c r="G410" s="9" t="s">
        <v>442</v>
      </c>
      <c r="H410" s="9" t="s">
        <v>18</v>
      </c>
      <c r="I410" s="9" t="s">
        <v>18</v>
      </c>
      <c r="J410" s="9" t="s">
        <v>44</v>
      </c>
      <c r="K410" s="261" t="s">
        <v>121</v>
      </c>
      <c r="M410" s="262">
        <v>350</v>
      </c>
      <c r="N410" s="262">
        <v>350</v>
      </c>
      <c r="O410" s="262">
        <v>350</v>
      </c>
      <c r="P410" s="262">
        <v>350</v>
      </c>
      <c r="Q410" s="262">
        <v>350</v>
      </c>
      <c r="R410" s="262">
        <v>350</v>
      </c>
      <c r="S410" s="262">
        <v>350</v>
      </c>
      <c r="T410" s="262">
        <v>350</v>
      </c>
      <c r="U410" s="262">
        <v>350</v>
      </c>
      <c r="V410" s="262">
        <v>350</v>
      </c>
      <c r="W410" s="262">
        <v>350</v>
      </c>
      <c r="X410" s="262">
        <v>350</v>
      </c>
      <c r="Y410" s="262">
        <f t="shared" si="7"/>
        <v>4200</v>
      </c>
    </row>
    <row r="411" spans="1:25" s="261" customFormat="1" ht="11.25" customHeight="1">
      <c r="A411" s="261">
        <v>2014</v>
      </c>
      <c r="B411" s="261" t="s">
        <v>573</v>
      </c>
      <c r="C411" s="261" t="s">
        <v>32</v>
      </c>
      <c r="D411" s="9" t="s">
        <v>32</v>
      </c>
      <c r="E411" s="261" t="s">
        <v>18</v>
      </c>
      <c r="F411" s="261" t="s">
        <v>66</v>
      </c>
      <c r="G411" s="9" t="s">
        <v>442</v>
      </c>
      <c r="H411" s="9" t="s">
        <v>18</v>
      </c>
      <c r="I411" s="9" t="s">
        <v>18</v>
      </c>
      <c r="J411" s="9" t="s">
        <v>44</v>
      </c>
      <c r="K411" s="261" t="s">
        <v>119</v>
      </c>
      <c r="M411" s="262">
        <v>230</v>
      </c>
      <c r="N411" s="262">
        <v>230</v>
      </c>
      <c r="O411" s="262">
        <v>230</v>
      </c>
      <c r="P411" s="262">
        <v>230</v>
      </c>
      <c r="Q411" s="262">
        <v>230</v>
      </c>
      <c r="R411" s="262">
        <v>230</v>
      </c>
      <c r="S411" s="262">
        <v>230</v>
      </c>
      <c r="T411" s="262">
        <v>230</v>
      </c>
      <c r="U411" s="262">
        <v>230</v>
      </c>
      <c r="V411" s="262">
        <v>230</v>
      </c>
      <c r="W411" s="262">
        <v>230</v>
      </c>
      <c r="X411" s="262">
        <v>230</v>
      </c>
      <c r="Y411" s="262">
        <f t="shared" si="7"/>
        <v>2760</v>
      </c>
    </row>
    <row r="412" spans="1:25" s="261" customFormat="1" ht="11.25" customHeight="1">
      <c r="A412" s="261">
        <v>2014</v>
      </c>
      <c r="B412" s="261" t="s">
        <v>573</v>
      </c>
      <c r="C412" s="261" t="s">
        <v>32</v>
      </c>
      <c r="D412" s="9" t="s">
        <v>32</v>
      </c>
      <c r="E412" s="261" t="s">
        <v>18</v>
      </c>
      <c r="F412" s="261" t="s">
        <v>66</v>
      </c>
      <c r="G412" s="9" t="s">
        <v>442</v>
      </c>
      <c r="H412" s="9" t="s">
        <v>18</v>
      </c>
      <c r="I412" s="9" t="s">
        <v>18</v>
      </c>
      <c r="J412" s="9" t="s">
        <v>44</v>
      </c>
      <c r="K412" s="261" t="s">
        <v>265</v>
      </c>
      <c r="M412" s="262">
        <v>450</v>
      </c>
      <c r="N412" s="262">
        <v>450</v>
      </c>
      <c r="O412" s="262">
        <v>450</v>
      </c>
      <c r="P412" s="262">
        <v>450</v>
      </c>
      <c r="Q412" s="262">
        <v>450</v>
      </c>
      <c r="R412" s="262">
        <v>450</v>
      </c>
      <c r="S412" s="262">
        <v>450</v>
      </c>
      <c r="T412" s="262">
        <v>450</v>
      </c>
      <c r="U412" s="262">
        <v>450</v>
      </c>
      <c r="V412" s="262">
        <v>450</v>
      </c>
      <c r="W412" s="262">
        <v>450</v>
      </c>
      <c r="X412" s="262">
        <v>450</v>
      </c>
      <c r="Y412" s="262">
        <f t="shared" si="7"/>
        <v>5400</v>
      </c>
    </row>
    <row r="413" spans="1:25" s="261" customFormat="1" ht="11.25" customHeight="1">
      <c r="A413" s="261">
        <v>2014</v>
      </c>
      <c r="B413" s="261" t="s">
        <v>573</v>
      </c>
      <c r="C413" s="261" t="s">
        <v>32</v>
      </c>
      <c r="D413" s="9" t="s">
        <v>32</v>
      </c>
      <c r="E413" s="261" t="s">
        <v>18</v>
      </c>
      <c r="F413" s="261" t="s">
        <v>66</v>
      </c>
      <c r="G413" s="9" t="s">
        <v>442</v>
      </c>
      <c r="H413" s="9" t="s">
        <v>18</v>
      </c>
      <c r="I413" s="9" t="s">
        <v>18</v>
      </c>
      <c r="J413" s="9" t="s">
        <v>44</v>
      </c>
      <c r="K413" s="261" t="s">
        <v>111</v>
      </c>
      <c r="M413" s="262">
        <v>420</v>
      </c>
      <c r="N413" s="262">
        <v>420</v>
      </c>
      <c r="O413" s="262">
        <v>420</v>
      </c>
      <c r="P413" s="262">
        <v>420</v>
      </c>
      <c r="Q413" s="262">
        <v>420</v>
      </c>
      <c r="R413" s="262">
        <v>420</v>
      </c>
      <c r="S413" s="262">
        <v>420</v>
      </c>
      <c r="T413" s="262">
        <v>420</v>
      </c>
      <c r="U413" s="262">
        <v>420</v>
      </c>
      <c r="V413" s="262">
        <v>420</v>
      </c>
      <c r="W413" s="262">
        <v>420</v>
      </c>
      <c r="X413" s="262">
        <v>420</v>
      </c>
      <c r="Y413" s="262">
        <f t="shared" si="7"/>
        <v>5040</v>
      </c>
    </row>
    <row r="414" spans="1:25" s="261" customFormat="1" ht="11.25" customHeight="1">
      <c r="A414" s="261">
        <v>2014</v>
      </c>
      <c r="B414" s="261" t="s">
        <v>573</v>
      </c>
      <c r="C414" s="261" t="s">
        <v>32</v>
      </c>
      <c r="D414" s="9" t="s">
        <v>32</v>
      </c>
      <c r="E414" s="261" t="s">
        <v>18</v>
      </c>
      <c r="F414" s="261" t="s">
        <v>66</v>
      </c>
      <c r="G414" s="9" t="s">
        <v>442</v>
      </c>
      <c r="H414" s="9" t="s">
        <v>18</v>
      </c>
      <c r="I414" s="9" t="s">
        <v>18</v>
      </c>
      <c r="J414" s="9" t="s">
        <v>44</v>
      </c>
      <c r="K414" s="261" t="s">
        <v>109</v>
      </c>
      <c r="M414" s="262">
        <v>230</v>
      </c>
      <c r="N414" s="262">
        <v>230</v>
      </c>
      <c r="O414" s="262">
        <v>230</v>
      </c>
      <c r="P414" s="262">
        <v>230</v>
      </c>
      <c r="Q414" s="262">
        <v>230</v>
      </c>
      <c r="R414" s="262">
        <v>230</v>
      </c>
      <c r="S414" s="262">
        <v>230</v>
      </c>
      <c r="T414" s="262">
        <v>230</v>
      </c>
      <c r="U414" s="262">
        <v>230</v>
      </c>
      <c r="V414" s="262">
        <v>230</v>
      </c>
      <c r="W414" s="262">
        <v>230</v>
      </c>
      <c r="X414" s="262">
        <v>230</v>
      </c>
      <c r="Y414" s="262">
        <f t="shared" si="7"/>
        <v>2760</v>
      </c>
    </row>
    <row r="415" spans="1:25" s="261" customFormat="1" ht="11.25" customHeight="1">
      <c r="A415" s="261">
        <v>2014</v>
      </c>
      <c r="B415" s="261" t="s">
        <v>573</v>
      </c>
      <c r="C415" s="261" t="s">
        <v>32</v>
      </c>
      <c r="D415" s="9" t="s">
        <v>32</v>
      </c>
      <c r="E415" s="261" t="s">
        <v>18</v>
      </c>
      <c r="F415" s="261" t="s">
        <v>66</v>
      </c>
      <c r="G415" s="9" t="s">
        <v>442</v>
      </c>
      <c r="H415" s="9" t="s">
        <v>18</v>
      </c>
      <c r="I415" s="9" t="s">
        <v>18</v>
      </c>
      <c r="J415" s="9" t="s">
        <v>44</v>
      </c>
      <c r="M415" s="262">
        <v>230</v>
      </c>
      <c r="N415" s="262">
        <v>230</v>
      </c>
      <c r="O415" s="262">
        <v>230</v>
      </c>
      <c r="P415" s="262">
        <v>470</v>
      </c>
      <c r="Q415" s="262">
        <v>705</v>
      </c>
      <c r="R415" s="262">
        <v>705</v>
      </c>
      <c r="S415" s="262">
        <v>705</v>
      </c>
      <c r="T415" s="262">
        <v>705</v>
      </c>
      <c r="U415" s="262">
        <v>705</v>
      </c>
      <c r="V415" s="262">
        <v>470</v>
      </c>
      <c r="W415" s="262">
        <v>470</v>
      </c>
      <c r="X415" s="262">
        <v>470</v>
      </c>
      <c r="Y415" s="262">
        <f t="shared" si="7"/>
        <v>6095</v>
      </c>
    </row>
    <row r="416" spans="1:25" s="261" customFormat="1" ht="11.25" customHeight="1">
      <c r="A416" s="261">
        <v>2014</v>
      </c>
      <c r="B416" s="261" t="s">
        <v>574</v>
      </c>
      <c r="C416" s="261" t="s">
        <v>32</v>
      </c>
      <c r="D416" s="9" t="s">
        <v>32</v>
      </c>
      <c r="E416" s="261" t="s">
        <v>45</v>
      </c>
      <c r="F416" s="261" t="s">
        <v>66</v>
      </c>
      <c r="G416" s="9" t="s">
        <v>442</v>
      </c>
      <c r="H416" s="9" t="s">
        <v>45</v>
      </c>
      <c r="I416" s="9" t="s">
        <v>45</v>
      </c>
      <c r="J416" s="9" t="s">
        <v>46</v>
      </c>
      <c r="M416" s="262">
        <v>26440</v>
      </c>
      <c r="N416" s="262">
        <v>31000</v>
      </c>
      <c r="O416" s="262">
        <v>35000</v>
      </c>
      <c r="P416" s="262">
        <v>68500</v>
      </c>
      <c r="Q416" s="262">
        <v>71000</v>
      </c>
      <c r="R416" s="262">
        <v>83000</v>
      </c>
      <c r="S416" s="262">
        <v>50000</v>
      </c>
      <c r="T416" s="262">
        <v>64000</v>
      </c>
      <c r="U416" s="262">
        <v>54000</v>
      </c>
      <c r="V416" s="262">
        <v>51000</v>
      </c>
      <c r="W416" s="262">
        <v>41000</v>
      </c>
      <c r="X416" s="262">
        <v>43000</v>
      </c>
      <c r="Y416" s="262">
        <f t="shared" si="7"/>
        <v>617940</v>
      </c>
    </row>
    <row r="417" spans="1:25" s="261" customFormat="1" ht="11.25" customHeight="1">
      <c r="A417" s="261">
        <v>2014</v>
      </c>
      <c r="B417" s="261" t="s">
        <v>573</v>
      </c>
      <c r="C417" s="261" t="s">
        <v>32</v>
      </c>
      <c r="D417" s="9" t="s">
        <v>9</v>
      </c>
      <c r="E417" s="261" t="s">
        <v>67</v>
      </c>
      <c r="F417" s="261" t="s">
        <v>66</v>
      </c>
      <c r="G417" s="9" t="s">
        <v>442</v>
      </c>
      <c r="H417" s="9" t="s">
        <v>9</v>
      </c>
      <c r="I417" s="9" t="s">
        <v>67</v>
      </c>
      <c r="J417" s="9" t="s">
        <v>67</v>
      </c>
      <c r="K417" s="261" t="s">
        <v>68</v>
      </c>
      <c r="M417" s="262">
        <v>500</v>
      </c>
      <c r="N417" s="262">
        <v>500</v>
      </c>
      <c r="O417" s="262">
        <v>500</v>
      </c>
      <c r="P417" s="262">
        <v>1500</v>
      </c>
      <c r="Q417" s="262">
        <v>1500</v>
      </c>
      <c r="R417" s="262">
        <v>1500</v>
      </c>
      <c r="S417" s="262">
        <v>1300</v>
      </c>
      <c r="T417" s="262">
        <v>1500</v>
      </c>
      <c r="U417" s="262">
        <v>1500</v>
      </c>
      <c r="V417" s="262">
        <v>1500</v>
      </c>
      <c r="W417" s="262">
        <v>1500</v>
      </c>
      <c r="X417" s="262">
        <v>1500</v>
      </c>
      <c r="Y417" s="262">
        <f t="shared" si="7"/>
        <v>14800</v>
      </c>
    </row>
    <row r="418" spans="1:25" s="261" customFormat="1" ht="11.25" customHeight="1">
      <c r="A418" s="261">
        <v>2014</v>
      </c>
      <c r="B418" s="261" t="s">
        <v>573</v>
      </c>
      <c r="C418" s="261" t="s">
        <v>32</v>
      </c>
      <c r="D418" s="9" t="s">
        <v>9</v>
      </c>
      <c r="E418" s="261" t="s">
        <v>10</v>
      </c>
      <c r="F418" s="261" t="s">
        <v>66</v>
      </c>
      <c r="G418" s="9" t="s">
        <v>442</v>
      </c>
      <c r="H418" s="9" t="s">
        <v>9</v>
      </c>
      <c r="I418" s="9" t="s">
        <v>10</v>
      </c>
      <c r="J418" s="9" t="s">
        <v>15</v>
      </c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>
        <f t="shared" si="7"/>
        <v>0</v>
      </c>
    </row>
    <row r="419" spans="1:25" s="261" customFormat="1" ht="11.25" customHeight="1">
      <c r="A419" s="261">
        <v>2014</v>
      </c>
      <c r="B419" s="261" t="s">
        <v>573</v>
      </c>
      <c r="C419" s="261" t="s">
        <v>32</v>
      </c>
      <c r="D419" s="9" t="s">
        <v>32</v>
      </c>
      <c r="E419" s="261" t="s">
        <v>29</v>
      </c>
      <c r="F419" s="261" t="s">
        <v>66</v>
      </c>
      <c r="G419" s="9" t="s">
        <v>442</v>
      </c>
      <c r="H419" s="9" t="s">
        <v>29</v>
      </c>
      <c r="I419" s="9" t="s">
        <v>29</v>
      </c>
      <c r="J419" s="9" t="s">
        <v>31</v>
      </c>
      <c r="K419" s="261" t="s">
        <v>68</v>
      </c>
      <c r="M419" s="262">
        <v>200</v>
      </c>
      <c r="N419" s="262">
        <v>200</v>
      </c>
      <c r="O419" s="262">
        <v>200</v>
      </c>
      <c r="P419" s="262">
        <v>200</v>
      </c>
      <c r="Q419" s="262">
        <v>200</v>
      </c>
      <c r="R419" s="262">
        <v>200</v>
      </c>
      <c r="S419" s="262">
        <v>200</v>
      </c>
      <c r="T419" s="262">
        <v>200</v>
      </c>
      <c r="U419" s="262">
        <v>200</v>
      </c>
      <c r="V419" s="262">
        <v>200</v>
      </c>
      <c r="W419" s="262">
        <v>200</v>
      </c>
      <c r="X419" s="262">
        <v>200</v>
      </c>
      <c r="Y419" s="262">
        <f t="shared" si="7"/>
        <v>2400</v>
      </c>
    </row>
    <row r="420" spans="1:25" s="261" customFormat="1" ht="11.25" customHeight="1">
      <c r="A420" s="261">
        <v>2014</v>
      </c>
      <c r="B420" s="261" t="s">
        <v>573</v>
      </c>
      <c r="C420" s="261" t="s">
        <v>32</v>
      </c>
      <c r="D420" s="9" t="s">
        <v>32</v>
      </c>
      <c r="E420" s="261" t="s">
        <v>12</v>
      </c>
      <c r="F420" s="261" t="s">
        <v>66</v>
      </c>
      <c r="G420" s="9" t="s">
        <v>442</v>
      </c>
      <c r="H420" s="9" t="s">
        <v>12</v>
      </c>
      <c r="I420" s="9" t="s">
        <v>12</v>
      </c>
      <c r="J420" s="9" t="s">
        <v>13</v>
      </c>
      <c r="K420" s="261" t="s">
        <v>268</v>
      </c>
      <c r="M420" s="262">
        <v>91</v>
      </c>
      <c r="N420" s="262">
        <v>91</v>
      </c>
      <c r="O420" s="262">
        <v>91</v>
      </c>
      <c r="P420" s="262">
        <v>91</v>
      </c>
      <c r="Q420" s="262">
        <v>91</v>
      </c>
      <c r="R420" s="262">
        <v>91</v>
      </c>
      <c r="S420" s="262">
        <v>91</v>
      </c>
      <c r="T420" s="262">
        <v>91</v>
      </c>
      <c r="U420" s="262">
        <v>91</v>
      </c>
      <c r="V420" s="262">
        <v>91</v>
      </c>
      <c r="W420" s="262">
        <v>91</v>
      </c>
      <c r="X420" s="262">
        <v>91</v>
      </c>
      <c r="Y420" s="262">
        <f t="shared" si="7"/>
        <v>1092</v>
      </c>
    </row>
    <row r="421" spans="1:25" s="261" customFormat="1" ht="11.25" customHeight="1">
      <c r="A421" s="261">
        <v>2014</v>
      </c>
      <c r="B421" s="261" t="s">
        <v>573</v>
      </c>
      <c r="C421" s="261" t="s">
        <v>32</v>
      </c>
      <c r="D421" s="9" t="s">
        <v>32</v>
      </c>
      <c r="E421" s="261" t="s">
        <v>12</v>
      </c>
      <c r="F421" s="261" t="s">
        <v>66</v>
      </c>
      <c r="G421" s="9" t="s">
        <v>442</v>
      </c>
      <c r="H421" s="9" t="s">
        <v>12</v>
      </c>
      <c r="I421" s="9" t="s">
        <v>12</v>
      </c>
      <c r="J421" s="9" t="s">
        <v>13</v>
      </c>
      <c r="K421" s="261" t="s">
        <v>114</v>
      </c>
      <c r="M421" s="262">
        <v>41</v>
      </c>
      <c r="N421" s="262">
        <v>41</v>
      </c>
      <c r="O421" s="262">
        <v>41</v>
      </c>
      <c r="P421" s="262">
        <v>41</v>
      </c>
      <c r="Q421" s="262">
        <v>41</v>
      </c>
      <c r="R421" s="262">
        <v>41</v>
      </c>
      <c r="S421" s="262">
        <v>41</v>
      </c>
      <c r="T421" s="262">
        <v>41</v>
      </c>
      <c r="U421" s="262">
        <v>41</v>
      </c>
      <c r="V421" s="262">
        <v>41</v>
      </c>
      <c r="W421" s="262">
        <v>41</v>
      </c>
      <c r="X421" s="262">
        <v>41</v>
      </c>
      <c r="Y421" s="262">
        <f t="shared" si="7"/>
        <v>492</v>
      </c>
    </row>
    <row r="422" spans="1:25" s="261" customFormat="1" ht="11.25" customHeight="1">
      <c r="A422" s="261">
        <v>2014</v>
      </c>
      <c r="B422" s="261" t="s">
        <v>573</v>
      </c>
      <c r="C422" s="261" t="s">
        <v>32</v>
      </c>
      <c r="D422" s="9" t="s">
        <v>32</v>
      </c>
      <c r="E422" s="261" t="s">
        <v>12</v>
      </c>
      <c r="F422" s="261" t="s">
        <v>66</v>
      </c>
      <c r="G422" s="9" t="s">
        <v>442</v>
      </c>
      <c r="H422" s="9" t="s">
        <v>12</v>
      </c>
      <c r="I422" s="9" t="s">
        <v>12</v>
      </c>
      <c r="J422" s="9" t="s">
        <v>13</v>
      </c>
      <c r="K422" s="261" t="s">
        <v>269</v>
      </c>
      <c r="M422" s="262">
        <v>91</v>
      </c>
      <c r="N422" s="262">
        <v>91</v>
      </c>
      <c r="O422" s="262">
        <v>91</v>
      </c>
      <c r="P422" s="262">
        <v>91</v>
      </c>
      <c r="Q422" s="262">
        <v>91</v>
      </c>
      <c r="R422" s="262">
        <v>91</v>
      </c>
      <c r="S422" s="262">
        <v>91</v>
      </c>
      <c r="T422" s="262">
        <v>91</v>
      </c>
      <c r="U422" s="262">
        <v>91</v>
      </c>
      <c r="V422" s="262">
        <v>91</v>
      </c>
      <c r="W422" s="262">
        <v>91</v>
      </c>
      <c r="X422" s="262">
        <v>91</v>
      </c>
      <c r="Y422" s="262">
        <f t="shared" si="7"/>
        <v>1092</v>
      </c>
    </row>
    <row r="423" spans="1:25" s="261" customFormat="1" ht="11.25" customHeight="1">
      <c r="A423" s="261">
        <v>2014</v>
      </c>
      <c r="B423" s="261" t="s">
        <v>573</v>
      </c>
      <c r="C423" s="261" t="s">
        <v>32</v>
      </c>
      <c r="D423" s="9" t="s">
        <v>32</v>
      </c>
      <c r="E423" s="261" t="s">
        <v>12</v>
      </c>
      <c r="F423" s="261" t="s">
        <v>66</v>
      </c>
      <c r="G423" s="9" t="s">
        <v>442</v>
      </c>
      <c r="H423" s="9" t="s">
        <v>12</v>
      </c>
      <c r="I423" s="9" t="s">
        <v>12</v>
      </c>
      <c r="J423" s="9" t="s">
        <v>13</v>
      </c>
      <c r="K423" s="261" t="s">
        <v>108</v>
      </c>
      <c r="M423" s="262">
        <v>41</v>
      </c>
      <c r="N423" s="262">
        <v>41</v>
      </c>
      <c r="O423" s="262">
        <v>41</v>
      </c>
      <c r="P423" s="262">
        <v>41</v>
      </c>
      <c r="Q423" s="262">
        <v>41</v>
      </c>
      <c r="R423" s="262">
        <v>41</v>
      </c>
      <c r="S423" s="262">
        <v>41</v>
      </c>
      <c r="T423" s="262">
        <v>41</v>
      </c>
      <c r="U423" s="262">
        <v>41</v>
      </c>
      <c r="V423" s="262">
        <v>41</v>
      </c>
      <c r="W423" s="262">
        <v>41</v>
      </c>
      <c r="X423" s="262">
        <v>41</v>
      </c>
      <c r="Y423" s="262">
        <f t="shared" si="7"/>
        <v>492</v>
      </c>
    </row>
    <row r="424" spans="1:25" s="261" customFormat="1" ht="11.25" customHeight="1">
      <c r="A424" s="261">
        <v>2014</v>
      </c>
      <c r="B424" s="261" t="s">
        <v>573</v>
      </c>
      <c r="C424" s="261" t="s">
        <v>32</v>
      </c>
      <c r="D424" s="9" t="s">
        <v>32</v>
      </c>
      <c r="E424" s="261" t="s">
        <v>12</v>
      </c>
      <c r="F424" s="261" t="s">
        <v>66</v>
      </c>
      <c r="G424" s="9" t="s">
        <v>442</v>
      </c>
      <c r="H424" s="9" t="s">
        <v>12</v>
      </c>
      <c r="I424" s="9" t="s">
        <v>12</v>
      </c>
      <c r="J424" s="9" t="s">
        <v>13</v>
      </c>
      <c r="K424" s="261" t="s">
        <v>122</v>
      </c>
      <c r="M424" s="262">
        <v>41</v>
      </c>
      <c r="N424" s="262">
        <v>41</v>
      </c>
      <c r="O424" s="262">
        <v>41</v>
      </c>
      <c r="P424" s="262">
        <v>41</v>
      </c>
      <c r="Q424" s="262">
        <v>41</v>
      </c>
      <c r="R424" s="262">
        <v>41</v>
      </c>
      <c r="S424" s="262">
        <v>41</v>
      </c>
      <c r="T424" s="262">
        <v>41</v>
      </c>
      <c r="U424" s="262">
        <v>41</v>
      </c>
      <c r="V424" s="262">
        <v>41</v>
      </c>
      <c r="W424" s="262">
        <v>41</v>
      </c>
      <c r="X424" s="262">
        <v>41</v>
      </c>
      <c r="Y424" s="262">
        <f t="shared" si="7"/>
        <v>492</v>
      </c>
    </row>
    <row r="425" spans="1:25" s="261" customFormat="1" ht="11.25" customHeight="1">
      <c r="A425" s="261">
        <v>2014</v>
      </c>
      <c r="B425" s="261" t="s">
        <v>573</v>
      </c>
      <c r="C425" s="261" t="s">
        <v>32</v>
      </c>
      <c r="D425" s="9" t="s">
        <v>32</v>
      </c>
      <c r="E425" s="261" t="s">
        <v>12</v>
      </c>
      <c r="F425" s="261" t="s">
        <v>66</v>
      </c>
      <c r="G425" s="9" t="s">
        <v>442</v>
      </c>
      <c r="H425" s="9" t="s">
        <v>12</v>
      </c>
      <c r="I425" s="9" t="s">
        <v>12</v>
      </c>
      <c r="J425" s="9" t="s">
        <v>13</v>
      </c>
      <c r="K425" s="261" t="s">
        <v>70</v>
      </c>
      <c r="M425" s="262">
        <v>200</v>
      </c>
      <c r="N425" s="262">
        <v>200</v>
      </c>
      <c r="O425" s="262">
        <v>200</v>
      </c>
      <c r="P425" s="262">
        <v>200</v>
      </c>
      <c r="Q425" s="262">
        <v>200</v>
      </c>
      <c r="R425" s="262">
        <v>200</v>
      </c>
      <c r="S425" s="262">
        <v>200</v>
      </c>
      <c r="T425" s="262">
        <v>200</v>
      </c>
      <c r="U425" s="262">
        <v>200</v>
      </c>
      <c r="V425" s="262">
        <v>200</v>
      </c>
      <c r="W425" s="262">
        <v>200</v>
      </c>
      <c r="X425" s="262">
        <v>200</v>
      </c>
      <c r="Y425" s="262">
        <f t="shared" si="7"/>
        <v>2400</v>
      </c>
    </row>
    <row r="426" spans="1:25" s="261" customFormat="1" ht="11.25" customHeight="1">
      <c r="A426" s="261">
        <v>2014</v>
      </c>
      <c r="B426" s="261" t="s">
        <v>573</v>
      </c>
      <c r="C426" s="261" t="s">
        <v>32</v>
      </c>
      <c r="D426" s="9" t="s">
        <v>32</v>
      </c>
      <c r="E426" s="261" t="s">
        <v>12</v>
      </c>
      <c r="F426" s="261" t="s">
        <v>66</v>
      </c>
      <c r="G426" s="9" t="s">
        <v>442</v>
      </c>
      <c r="H426" s="9" t="s">
        <v>12</v>
      </c>
      <c r="I426" s="9" t="s">
        <v>12</v>
      </c>
      <c r="J426" s="9" t="s">
        <v>13</v>
      </c>
      <c r="K426" s="261" t="s">
        <v>271</v>
      </c>
      <c r="M426" s="262">
        <v>91</v>
      </c>
      <c r="N426" s="262">
        <v>91</v>
      </c>
      <c r="O426" s="262">
        <v>91</v>
      </c>
      <c r="P426" s="262">
        <v>91</v>
      </c>
      <c r="Q426" s="262">
        <v>91</v>
      </c>
      <c r="R426" s="262">
        <v>91</v>
      </c>
      <c r="S426" s="262">
        <v>91</v>
      </c>
      <c r="T426" s="262">
        <v>91</v>
      </c>
      <c r="U426" s="262">
        <v>91</v>
      </c>
      <c r="V426" s="262">
        <v>91</v>
      </c>
      <c r="W426" s="262">
        <v>91</v>
      </c>
      <c r="X426" s="262">
        <v>91</v>
      </c>
      <c r="Y426" s="262">
        <f t="shared" si="7"/>
        <v>1092</v>
      </c>
    </row>
    <row r="427" spans="1:25" s="261" customFormat="1" ht="11.25" customHeight="1">
      <c r="A427" s="261">
        <v>2014</v>
      </c>
      <c r="B427" s="261" t="s">
        <v>573</v>
      </c>
      <c r="C427" s="261" t="s">
        <v>32</v>
      </c>
      <c r="D427" s="9" t="s">
        <v>32</v>
      </c>
      <c r="E427" s="261" t="s">
        <v>12</v>
      </c>
      <c r="F427" s="261" t="s">
        <v>66</v>
      </c>
      <c r="G427" s="9" t="s">
        <v>442</v>
      </c>
      <c r="H427" s="9" t="s">
        <v>12</v>
      </c>
      <c r="I427" s="9" t="s">
        <v>12</v>
      </c>
      <c r="J427" s="9" t="s">
        <v>13</v>
      </c>
      <c r="K427" s="261" t="s">
        <v>127</v>
      </c>
      <c r="M427" s="262">
        <v>41</v>
      </c>
      <c r="N427" s="262">
        <v>41</v>
      </c>
      <c r="O427" s="262">
        <v>41</v>
      </c>
      <c r="P427" s="262">
        <v>41</v>
      </c>
      <c r="Q427" s="262">
        <v>41</v>
      </c>
      <c r="R427" s="262">
        <v>41</v>
      </c>
      <c r="S427" s="262">
        <v>41</v>
      </c>
      <c r="T427" s="262">
        <v>41</v>
      </c>
      <c r="U427" s="262">
        <v>41</v>
      </c>
      <c r="V427" s="262">
        <v>41</v>
      </c>
      <c r="W427" s="262">
        <v>41</v>
      </c>
      <c r="X427" s="262">
        <v>41</v>
      </c>
      <c r="Y427" s="262">
        <f t="shared" si="7"/>
        <v>492</v>
      </c>
    </row>
    <row r="428" spans="1:25" s="261" customFormat="1" ht="11.25" customHeight="1">
      <c r="A428" s="261">
        <v>2014</v>
      </c>
      <c r="B428" s="261" t="s">
        <v>573</v>
      </c>
      <c r="C428" s="261" t="s">
        <v>32</v>
      </c>
      <c r="D428" s="9" t="s">
        <v>32</v>
      </c>
      <c r="E428" s="261" t="s">
        <v>12</v>
      </c>
      <c r="F428" s="261" t="s">
        <v>66</v>
      </c>
      <c r="G428" s="9" t="s">
        <v>442</v>
      </c>
      <c r="H428" s="9" t="s">
        <v>12</v>
      </c>
      <c r="I428" s="9" t="s">
        <v>12</v>
      </c>
      <c r="J428" s="9" t="s">
        <v>13</v>
      </c>
      <c r="K428" s="261" t="s">
        <v>117</v>
      </c>
      <c r="M428" s="262">
        <v>41</v>
      </c>
      <c r="N428" s="262">
        <v>41</v>
      </c>
      <c r="O428" s="262">
        <v>41</v>
      </c>
      <c r="P428" s="262">
        <v>41</v>
      </c>
      <c r="Q428" s="262">
        <v>41</v>
      </c>
      <c r="R428" s="262">
        <v>41</v>
      </c>
      <c r="S428" s="262">
        <v>41</v>
      </c>
      <c r="T428" s="262">
        <v>41</v>
      </c>
      <c r="U428" s="262">
        <v>41</v>
      </c>
      <c r="V428" s="262">
        <v>41</v>
      </c>
      <c r="W428" s="262">
        <v>41</v>
      </c>
      <c r="X428" s="262">
        <v>41</v>
      </c>
      <c r="Y428" s="262">
        <f t="shared" si="7"/>
        <v>492</v>
      </c>
    </row>
    <row r="429" spans="1:25" s="261" customFormat="1" ht="11.25" customHeight="1">
      <c r="A429" s="261">
        <v>2014</v>
      </c>
      <c r="B429" s="261" t="s">
        <v>573</v>
      </c>
      <c r="C429" s="261" t="s">
        <v>32</v>
      </c>
      <c r="D429" s="9" t="s">
        <v>32</v>
      </c>
      <c r="E429" s="261" t="s">
        <v>12</v>
      </c>
      <c r="F429" s="261" t="s">
        <v>66</v>
      </c>
      <c r="G429" s="9" t="s">
        <v>442</v>
      </c>
      <c r="H429" s="9" t="s">
        <v>12</v>
      </c>
      <c r="I429" s="9" t="s">
        <v>12</v>
      </c>
      <c r="J429" s="9" t="s">
        <v>13</v>
      </c>
      <c r="K429" s="261" t="s">
        <v>113</v>
      </c>
      <c r="M429" s="262">
        <v>41</v>
      </c>
      <c r="N429" s="262">
        <v>41</v>
      </c>
      <c r="O429" s="262">
        <v>41</v>
      </c>
      <c r="P429" s="262">
        <v>41</v>
      </c>
      <c r="Q429" s="262">
        <v>41</v>
      </c>
      <c r="R429" s="262">
        <v>41</v>
      </c>
      <c r="S429" s="262">
        <v>41</v>
      </c>
      <c r="T429" s="262">
        <v>41</v>
      </c>
      <c r="U429" s="262">
        <v>41</v>
      </c>
      <c r="V429" s="262">
        <v>41</v>
      </c>
      <c r="W429" s="262">
        <v>41</v>
      </c>
      <c r="X429" s="262">
        <v>41</v>
      </c>
      <c r="Y429" s="262">
        <f t="shared" si="7"/>
        <v>492</v>
      </c>
    </row>
    <row r="430" spans="1:25" s="261" customFormat="1" ht="11.25" customHeight="1">
      <c r="A430" s="261">
        <v>2014</v>
      </c>
      <c r="B430" s="261" t="s">
        <v>573</v>
      </c>
      <c r="C430" s="261" t="s">
        <v>32</v>
      </c>
      <c r="D430" s="9" t="s">
        <v>32</v>
      </c>
      <c r="E430" s="261" t="s">
        <v>12</v>
      </c>
      <c r="F430" s="261" t="s">
        <v>66</v>
      </c>
      <c r="G430" s="9" t="s">
        <v>442</v>
      </c>
      <c r="H430" s="9" t="s">
        <v>12</v>
      </c>
      <c r="I430" s="9" t="s">
        <v>12</v>
      </c>
      <c r="J430" s="9" t="s">
        <v>13</v>
      </c>
      <c r="K430" s="261" t="s">
        <v>120</v>
      </c>
      <c r="M430" s="262">
        <v>41</v>
      </c>
      <c r="N430" s="262">
        <v>41</v>
      </c>
      <c r="O430" s="262">
        <v>41</v>
      </c>
      <c r="P430" s="262">
        <v>41</v>
      </c>
      <c r="Q430" s="262">
        <v>41</v>
      </c>
      <c r="R430" s="262">
        <v>41</v>
      </c>
      <c r="S430" s="262">
        <v>41</v>
      </c>
      <c r="T430" s="262">
        <v>41</v>
      </c>
      <c r="U430" s="262">
        <v>41</v>
      </c>
      <c r="V430" s="262">
        <v>41</v>
      </c>
      <c r="W430" s="262">
        <v>41</v>
      </c>
      <c r="X430" s="262">
        <v>41</v>
      </c>
      <c r="Y430" s="262">
        <f t="shared" si="7"/>
        <v>492</v>
      </c>
    </row>
    <row r="431" spans="1:25" s="261" customFormat="1" ht="11.25" customHeight="1">
      <c r="A431" s="261">
        <v>2014</v>
      </c>
      <c r="B431" s="261" t="s">
        <v>573</v>
      </c>
      <c r="C431" s="261" t="s">
        <v>32</v>
      </c>
      <c r="D431" s="9" t="s">
        <v>32</v>
      </c>
      <c r="E431" s="261" t="s">
        <v>12</v>
      </c>
      <c r="F431" s="261" t="s">
        <v>66</v>
      </c>
      <c r="G431" s="9" t="s">
        <v>442</v>
      </c>
      <c r="H431" s="9" t="s">
        <v>12</v>
      </c>
      <c r="I431" s="9" t="s">
        <v>12</v>
      </c>
      <c r="J431" s="9" t="s">
        <v>13</v>
      </c>
      <c r="K431" s="261" t="s">
        <v>125</v>
      </c>
      <c r="M431" s="262">
        <v>41</v>
      </c>
      <c r="N431" s="262">
        <v>41</v>
      </c>
      <c r="O431" s="262">
        <v>41</v>
      </c>
      <c r="P431" s="262">
        <v>41</v>
      </c>
      <c r="Q431" s="262">
        <v>41</v>
      </c>
      <c r="R431" s="262">
        <v>41</v>
      </c>
      <c r="S431" s="262">
        <v>41</v>
      </c>
      <c r="T431" s="262">
        <v>41</v>
      </c>
      <c r="U431" s="262">
        <v>41</v>
      </c>
      <c r="V431" s="262">
        <v>41</v>
      </c>
      <c r="W431" s="262">
        <v>41</v>
      </c>
      <c r="X431" s="262">
        <v>41</v>
      </c>
      <c r="Y431" s="262">
        <f t="shared" si="7"/>
        <v>492</v>
      </c>
    </row>
    <row r="432" spans="1:25" s="261" customFormat="1" ht="11.25" customHeight="1">
      <c r="A432" s="261">
        <v>2014</v>
      </c>
      <c r="B432" s="261" t="s">
        <v>573</v>
      </c>
      <c r="C432" s="261" t="s">
        <v>32</v>
      </c>
      <c r="D432" s="9" t="s">
        <v>32</v>
      </c>
      <c r="E432" s="261" t="s">
        <v>12</v>
      </c>
      <c r="F432" s="261" t="s">
        <v>66</v>
      </c>
      <c r="G432" s="9" t="s">
        <v>442</v>
      </c>
      <c r="H432" s="9" t="s">
        <v>12</v>
      </c>
      <c r="I432" s="9" t="s">
        <v>12</v>
      </c>
      <c r="J432" s="9" t="s">
        <v>13</v>
      </c>
      <c r="K432" s="261" t="s">
        <v>272</v>
      </c>
      <c r="M432" s="262">
        <v>91</v>
      </c>
      <c r="N432" s="262">
        <v>91</v>
      </c>
      <c r="O432" s="262">
        <v>91</v>
      </c>
      <c r="P432" s="262">
        <v>91</v>
      </c>
      <c r="Q432" s="262">
        <v>91</v>
      </c>
      <c r="R432" s="262">
        <v>91</v>
      </c>
      <c r="S432" s="262">
        <v>91</v>
      </c>
      <c r="T432" s="262">
        <v>91</v>
      </c>
      <c r="U432" s="262">
        <v>91</v>
      </c>
      <c r="V432" s="262">
        <v>91</v>
      </c>
      <c r="W432" s="262">
        <v>91</v>
      </c>
      <c r="X432" s="262">
        <v>91</v>
      </c>
      <c r="Y432" s="262">
        <f t="shared" si="7"/>
        <v>1092</v>
      </c>
    </row>
    <row r="433" spans="1:25" s="261" customFormat="1" ht="11.25" customHeight="1">
      <c r="A433" s="261">
        <v>2014</v>
      </c>
      <c r="B433" s="261" t="s">
        <v>573</v>
      </c>
      <c r="C433" s="261" t="s">
        <v>32</v>
      </c>
      <c r="D433" s="9" t="s">
        <v>32</v>
      </c>
      <c r="E433" s="261" t="s">
        <v>12</v>
      </c>
      <c r="F433" s="261" t="s">
        <v>66</v>
      </c>
      <c r="G433" s="9" t="s">
        <v>442</v>
      </c>
      <c r="H433" s="9" t="s">
        <v>12</v>
      </c>
      <c r="I433" s="9" t="s">
        <v>12</v>
      </c>
      <c r="J433" s="9" t="s">
        <v>13</v>
      </c>
      <c r="K433" s="261" t="s">
        <v>71</v>
      </c>
      <c r="M433" s="262">
        <v>91</v>
      </c>
      <c r="N433" s="262">
        <v>91</v>
      </c>
      <c r="O433" s="262">
        <v>91</v>
      </c>
      <c r="P433" s="262">
        <v>91</v>
      </c>
      <c r="Q433" s="262">
        <v>91</v>
      </c>
      <c r="R433" s="262">
        <v>91</v>
      </c>
      <c r="S433" s="262">
        <v>91</v>
      </c>
      <c r="T433" s="262">
        <v>91</v>
      </c>
      <c r="U433" s="262">
        <v>91</v>
      </c>
      <c r="V433" s="262">
        <v>91</v>
      </c>
      <c r="W433" s="262">
        <v>91</v>
      </c>
      <c r="X433" s="262">
        <v>91</v>
      </c>
      <c r="Y433" s="262">
        <f t="shared" si="7"/>
        <v>1092</v>
      </c>
    </row>
    <row r="434" spans="1:25" s="261" customFormat="1" ht="11.25" customHeight="1">
      <c r="A434" s="261">
        <v>2014</v>
      </c>
      <c r="B434" s="261" t="s">
        <v>573</v>
      </c>
      <c r="C434" s="261" t="s">
        <v>32</v>
      </c>
      <c r="D434" s="9" t="s">
        <v>32</v>
      </c>
      <c r="E434" s="261" t="s">
        <v>12</v>
      </c>
      <c r="F434" s="261" t="s">
        <v>66</v>
      </c>
      <c r="G434" s="9" t="s">
        <v>442</v>
      </c>
      <c r="H434" s="9" t="s">
        <v>12</v>
      </c>
      <c r="I434" s="9" t="s">
        <v>12</v>
      </c>
      <c r="J434" s="9" t="s">
        <v>13</v>
      </c>
      <c r="K434" s="261" t="s">
        <v>116</v>
      </c>
      <c r="M434" s="262">
        <v>41</v>
      </c>
      <c r="N434" s="262">
        <v>41</v>
      </c>
      <c r="O434" s="262">
        <v>41</v>
      </c>
      <c r="P434" s="262">
        <v>41</v>
      </c>
      <c r="Q434" s="262">
        <v>41</v>
      </c>
      <c r="R434" s="262">
        <v>41</v>
      </c>
      <c r="S434" s="262">
        <v>41</v>
      </c>
      <c r="T434" s="262">
        <v>41</v>
      </c>
      <c r="U434" s="262">
        <v>41</v>
      </c>
      <c r="V434" s="262">
        <v>41</v>
      </c>
      <c r="W434" s="262">
        <v>41</v>
      </c>
      <c r="X434" s="262">
        <v>41</v>
      </c>
      <c r="Y434" s="262">
        <f t="shared" si="7"/>
        <v>492</v>
      </c>
    </row>
    <row r="435" spans="1:25" s="261" customFormat="1" ht="11.25" customHeight="1">
      <c r="A435" s="261">
        <v>2014</v>
      </c>
      <c r="B435" s="261" t="s">
        <v>573</v>
      </c>
      <c r="C435" s="261" t="s">
        <v>32</v>
      </c>
      <c r="D435" s="9" t="s">
        <v>32</v>
      </c>
      <c r="E435" s="261" t="s">
        <v>12</v>
      </c>
      <c r="F435" s="261" t="s">
        <v>66</v>
      </c>
      <c r="G435" s="9" t="s">
        <v>442</v>
      </c>
      <c r="H435" s="9" t="s">
        <v>12</v>
      </c>
      <c r="I435" s="9" t="s">
        <v>12</v>
      </c>
      <c r="J435" s="9" t="s">
        <v>13</v>
      </c>
      <c r="K435" s="261" t="s">
        <v>77</v>
      </c>
      <c r="M435" s="262">
        <v>91</v>
      </c>
      <c r="N435" s="262">
        <v>91</v>
      </c>
      <c r="O435" s="262">
        <v>91</v>
      </c>
      <c r="P435" s="262">
        <v>91</v>
      </c>
      <c r="Q435" s="262">
        <v>91</v>
      </c>
      <c r="R435" s="262">
        <v>91</v>
      </c>
      <c r="S435" s="262">
        <v>91</v>
      </c>
      <c r="T435" s="262">
        <v>91</v>
      </c>
      <c r="U435" s="262">
        <v>91</v>
      </c>
      <c r="V435" s="262">
        <v>91</v>
      </c>
      <c r="W435" s="262">
        <v>91</v>
      </c>
      <c r="X435" s="262">
        <v>91</v>
      </c>
      <c r="Y435" s="262">
        <f t="shared" si="7"/>
        <v>1092</v>
      </c>
    </row>
    <row r="436" spans="1:25" s="261" customFormat="1" ht="11.25" customHeight="1">
      <c r="A436" s="261">
        <v>2014</v>
      </c>
      <c r="B436" s="261" t="s">
        <v>573</v>
      </c>
      <c r="C436" s="261" t="s">
        <v>32</v>
      </c>
      <c r="D436" s="9" t="s">
        <v>32</v>
      </c>
      <c r="E436" s="261" t="s">
        <v>12</v>
      </c>
      <c r="F436" s="261" t="s">
        <v>66</v>
      </c>
      <c r="G436" s="9" t="s">
        <v>442</v>
      </c>
      <c r="H436" s="9" t="s">
        <v>12</v>
      </c>
      <c r="I436" s="9" t="s">
        <v>12</v>
      </c>
      <c r="J436" s="9" t="s">
        <v>13</v>
      </c>
      <c r="K436" s="261" t="s">
        <v>76</v>
      </c>
      <c r="M436" s="262">
        <v>91</v>
      </c>
      <c r="N436" s="262">
        <v>91</v>
      </c>
      <c r="O436" s="262">
        <v>91</v>
      </c>
      <c r="P436" s="262">
        <v>91</v>
      </c>
      <c r="Q436" s="262">
        <v>91</v>
      </c>
      <c r="R436" s="262">
        <v>91</v>
      </c>
      <c r="S436" s="262">
        <v>91</v>
      </c>
      <c r="T436" s="262">
        <v>91</v>
      </c>
      <c r="U436" s="262">
        <v>91</v>
      </c>
      <c r="V436" s="262">
        <v>91</v>
      </c>
      <c r="W436" s="262">
        <v>91</v>
      </c>
      <c r="X436" s="262">
        <v>91</v>
      </c>
      <c r="Y436" s="262">
        <f t="shared" si="7"/>
        <v>1092</v>
      </c>
    </row>
    <row r="437" spans="1:25" s="261" customFormat="1" ht="11.25" customHeight="1">
      <c r="A437" s="261">
        <v>2014</v>
      </c>
      <c r="B437" s="261" t="s">
        <v>573</v>
      </c>
      <c r="C437" s="261" t="s">
        <v>32</v>
      </c>
      <c r="D437" s="9" t="s">
        <v>32</v>
      </c>
      <c r="E437" s="261" t="s">
        <v>12</v>
      </c>
      <c r="F437" s="261" t="s">
        <v>66</v>
      </c>
      <c r="G437" s="9" t="s">
        <v>442</v>
      </c>
      <c r="H437" s="9" t="s">
        <v>12</v>
      </c>
      <c r="I437" s="9" t="s">
        <v>12</v>
      </c>
      <c r="J437" s="9" t="s">
        <v>13</v>
      </c>
      <c r="K437" s="261" t="s">
        <v>75</v>
      </c>
      <c r="M437" s="262">
        <v>91</v>
      </c>
      <c r="N437" s="262">
        <v>91</v>
      </c>
      <c r="O437" s="262">
        <v>91</v>
      </c>
      <c r="P437" s="262">
        <v>91</v>
      </c>
      <c r="Q437" s="262">
        <v>91</v>
      </c>
      <c r="R437" s="262">
        <v>91</v>
      </c>
      <c r="S437" s="262">
        <v>91</v>
      </c>
      <c r="T437" s="262">
        <v>91</v>
      </c>
      <c r="U437" s="262">
        <v>91</v>
      </c>
      <c r="V437" s="262">
        <v>91</v>
      </c>
      <c r="W437" s="262">
        <v>91</v>
      </c>
      <c r="X437" s="262">
        <v>91</v>
      </c>
      <c r="Y437" s="262">
        <f t="shared" si="7"/>
        <v>1092</v>
      </c>
    </row>
    <row r="438" spans="1:25" s="261" customFormat="1" ht="11.25" customHeight="1">
      <c r="A438" s="261">
        <v>2014</v>
      </c>
      <c r="B438" s="261" t="s">
        <v>573</v>
      </c>
      <c r="C438" s="261" t="s">
        <v>32</v>
      </c>
      <c r="D438" s="9" t="s">
        <v>32</v>
      </c>
      <c r="E438" s="261" t="s">
        <v>12</v>
      </c>
      <c r="F438" s="261" t="s">
        <v>66</v>
      </c>
      <c r="G438" s="9" t="s">
        <v>442</v>
      </c>
      <c r="H438" s="9" t="s">
        <v>12</v>
      </c>
      <c r="I438" s="9" t="s">
        <v>12</v>
      </c>
      <c r="J438" s="9" t="s">
        <v>13</v>
      </c>
      <c r="K438" s="261" t="s">
        <v>267</v>
      </c>
      <c r="M438" s="262">
        <v>91</v>
      </c>
      <c r="N438" s="262">
        <v>91</v>
      </c>
      <c r="O438" s="262">
        <v>91</v>
      </c>
      <c r="P438" s="262">
        <v>91</v>
      </c>
      <c r="Q438" s="262">
        <v>91</v>
      </c>
      <c r="R438" s="262">
        <v>91</v>
      </c>
      <c r="S438" s="262">
        <v>91</v>
      </c>
      <c r="T438" s="262">
        <v>91</v>
      </c>
      <c r="U438" s="262">
        <v>91</v>
      </c>
      <c r="V438" s="262">
        <v>91</v>
      </c>
      <c r="W438" s="262">
        <v>91</v>
      </c>
      <c r="X438" s="262">
        <v>91</v>
      </c>
      <c r="Y438" s="262">
        <f t="shared" si="7"/>
        <v>1092</v>
      </c>
    </row>
    <row r="439" spans="1:25" s="261" customFormat="1" ht="11.25" customHeight="1">
      <c r="A439" s="261">
        <v>2014</v>
      </c>
      <c r="B439" s="261" t="s">
        <v>573</v>
      </c>
      <c r="C439" s="261" t="s">
        <v>32</v>
      </c>
      <c r="D439" s="9" t="s">
        <v>32</v>
      </c>
      <c r="E439" s="261" t="s">
        <v>12</v>
      </c>
      <c r="F439" s="261" t="s">
        <v>66</v>
      </c>
      <c r="G439" s="9" t="s">
        <v>442</v>
      </c>
      <c r="H439" s="9" t="s">
        <v>12</v>
      </c>
      <c r="I439" s="9" t="s">
        <v>12</v>
      </c>
      <c r="J439" s="9" t="s">
        <v>13</v>
      </c>
      <c r="K439" s="261" t="s">
        <v>73</v>
      </c>
      <c r="M439" s="262">
        <v>91</v>
      </c>
      <c r="N439" s="262">
        <v>91</v>
      </c>
      <c r="O439" s="262">
        <v>91</v>
      </c>
      <c r="P439" s="262">
        <v>91</v>
      </c>
      <c r="Q439" s="262">
        <v>91</v>
      </c>
      <c r="R439" s="262">
        <v>91</v>
      </c>
      <c r="S439" s="262">
        <v>91</v>
      </c>
      <c r="T439" s="262">
        <v>91</v>
      </c>
      <c r="U439" s="262">
        <v>91</v>
      </c>
      <c r="V439" s="262">
        <v>91</v>
      </c>
      <c r="W439" s="262">
        <v>91</v>
      </c>
      <c r="X439" s="262">
        <v>91</v>
      </c>
      <c r="Y439" s="262">
        <f t="shared" si="7"/>
        <v>1092</v>
      </c>
    </row>
    <row r="440" spans="1:25" s="261" customFormat="1" ht="11.25" customHeight="1">
      <c r="A440" s="261">
        <v>2014</v>
      </c>
      <c r="B440" s="261" t="s">
        <v>573</v>
      </c>
      <c r="C440" s="261" t="s">
        <v>32</v>
      </c>
      <c r="D440" s="9" t="s">
        <v>32</v>
      </c>
      <c r="E440" s="261" t="s">
        <v>12</v>
      </c>
      <c r="F440" s="261" t="s">
        <v>66</v>
      </c>
      <c r="G440" s="9" t="s">
        <v>442</v>
      </c>
      <c r="H440" s="9" t="s">
        <v>12</v>
      </c>
      <c r="I440" s="9" t="s">
        <v>12</v>
      </c>
      <c r="J440" s="9" t="s">
        <v>13</v>
      </c>
      <c r="K440" s="261" t="s">
        <v>129</v>
      </c>
      <c r="M440" s="262">
        <v>41</v>
      </c>
      <c r="N440" s="262">
        <v>41</v>
      </c>
      <c r="O440" s="262">
        <v>41</v>
      </c>
      <c r="P440" s="262">
        <v>41</v>
      </c>
      <c r="Q440" s="262">
        <v>41</v>
      </c>
      <c r="R440" s="262">
        <v>41</v>
      </c>
      <c r="S440" s="262">
        <v>41</v>
      </c>
      <c r="T440" s="262">
        <v>41</v>
      </c>
      <c r="U440" s="262">
        <v>41</v>
      </c>
      <c r="V440" s="262">
        <v>41</v>
      </c>
      <c r="W440" s="262">
        <v>41</v>
      </c>
      <c r="X440" s="262">
        <v>41</v>
      </c>
      <c r="Y440" s="262">
        <f t="shared" si="7"/>
        <v>492</v>
      </c>
    </row>
    <row r="441" spans="1:25" s="261" customFormat="1" ht="11.25" customHeight="1">
      <c r="A441" s="261">
        <v>2014</v>
      </c>
      <c r="B441" s="261" t="s">
        <v>573</v>
      </c>
      <c r="C441" s="261" t="s">
        <v>32</v>
      </c>
      <c r="D441" s="9" t="s">
        <v>32</v>
      </c>
      <c r="E441" s="261" t="s">
        <v>12</v>
      </c>
      <c r="F441" s="261" t="s">
        <v>66</v>
      </c>
      <c r="G441" s="9" t="s">
        <v>442</v>
      </c>
      <c r="H441" s="9" t="s">
        <v>12</v>
      </c>
      <c r="I441" s="9" t="s">
        <v>12</v>
      </c>
      <c r="J441" s="9" t="s">
        <v>13</v>
      </c>
      <c r="K441" s="261" t="s">
        <v>112</v>
      </c>
      <c r="M441" s="262">
        <v>41</v>
      </c>
      <c r="N441" s="262">
        <v>41</v>
      </c>
      <c r="O441" s="262">
        <v>41</v>
      </c>
      <c r="P441" s="262">
        <v>41</v>
      </c>
      <c r="Q441" s="262">
        <v>41</v>
      </c>
      <c r="R441" s="262">
        <v>41</v>
      </c>
      <c r="S441" s="262">
        <v>41</v>
      </c>
      <c r="T441" s="262">
        <v>41</v>
      </c>
      <c r="U441" s="262">
        <v>41</v>
      </c>
      <c r="V441" s="262">
        <v>41</v>
      </c>
      <c r="W441" s="262">
        <v>41</v>
      </c>
      <c r="X441" s="262">
        <v>41</v>
      </c>
      <c r="Y441" s="262">
        <f t="shared" si="7"/>
        <v>492</v>
      </c>
    </row>
    <row r="442" spans="1:25" s="261" customFormat="1" ht="11.25" customHeight="1">
      <c r="A442" s="261">
        <v>2014</v>
      </c>
      <c r="B442" s="261" t="s">
        <v>573</v>
      </c>
      <c r="C442" s="261" t="s">
        <v>32</v>
      </c>
      <c r="D442" s="9" t="s">
        <v>32</v>
      </c>
      <c r="E442" s="261" t="s">
        <v>12</v>
      </c>
      <c r="F442" s="261" t="s">
        <v>66</v>
      </c>
      <c r="G442" s="9" t="s">
        <v>442</v>
      </c>
      <c r="H442" s="9" t="s">
        <v>12</v>
      </c>
      <c r="I442" s="9" t="s">
        <v>12</v>
      </c>
      <c r="J442" s="9" t="s">
        <v>13</v>
      </c>
      <c r="K442" s="261" t="s">
        <v>74</v>
      </c>
      <c r="M442" s="262">
        <v>91</v>
      </c>
      <c r="N442" s="262">
        <v>91</v>
      </c>
      <c r="O442" s="262">
        <v>91</v>
      </c>
      <c r="P442" s="262">
        <v>91</v>
      </c>
      <c r="Q442" s="262">
        <v>91</v>
      </c>
      <c r="R442" s="262">
        <v>91</v>
      </c>
      <c r="S442" s="262">
        <v>91</v>
      </c>
      <c r="T442" s="262">
        <v>91</v>
      </c>
      <c r="U442" s="262">
        <v>91</v>
      </c>
      <c r="V442" s="262">
        <v>91</v>
      </c>
      <c r="W442" s="262">
        <v>91</v>
      </c>
      <c r="X442" s="262">
        <v>91</v>
      </c>
      <c r="Y442" s="262">
        <f t="shared" si="7"/>
        <v>1092</v>
      </c>
    </row>
    <row r="443" spans="1:25" s="261" customFormat="1" ht="11.25" customHeight="1">
      <c r="A443" s="261">
        <v>2014</v>
      </c>
      <c r="B443" s="261" t="s">
        <v>573</v>
      </c>
      <c r="C443" s="261" t="s">
        <v>32</v>
      </c>
      <c r="D443" s="9" t="s">
        <v>32</v>
      </c>
      <c r="E443" s="261" t="s">
        <v>12</v>
      </c>
      <c r="F443" s="261" t="s">
        <v>66</v>
      </c>
      <c r="G443" s="9" t="s">
        <v>442</v>
      </c>
      <c r="H443" s="9" t="s">
        <v>12</v>
      </c>
      <c r="I443" s="9" t="s">
        <v>12</v>
      </c>
      <c r="J443" s="9" t="s">
        <v>13</v>
      </c>
      <c r="K443" s="261" t="s">
        <v>107</v>
      </c>
      <c r="M443" s="262">
        <v>41</v>
      </c>
      <c r="N443" s="262">
        <v>41</v>
      </c>
      <c r="O443" s="262">
        <v>41</v>
      </c>
      <c r="P443" s="262">
        <v>41</v>
      </c>
      <c r="Q443" s="262">
        <v>41</v>
      </c>
      <c r="R443" s="262">
        <v>41</v>
      </c>
      <c r="S443" s="262">
        <v>41</v>
      </c>
      <c r="T443" s="262">
        <v>41</v>
      </c>
      <c r="U443" s="262">
        <v>41</v>
      </c>
      <c r="V443" s="262">
        <v>41</v>
      </c>
      <c r="W443" s="262">
        <v>41</v>
      </c>
      <c r="X443" s="262">
        <v>41</v>
      </c>
      <c r="Y443" s="262">
        <f t="shared" si="7"/>
        <v>492</v>
      </c>
    </row>
    <row r="444" spans="1:25" s="261" customFormat="1" ht="11.25" customHeight="1">
      <c r="A444" s="261">
        <v>2014</v>
      </c>
      <c r="B444" s="261" t="s">
        <v>573</v>
      </c>
      <c r="C444" s="261" t="s">
        <v>32</v>
      </c>
      <c r="D444" s="9" t="s">
        <v>32</v>
      </c>
      <c r="E444" s="261" t="s">
        <v>12</v>
      </c>
      <c r="F444" s="261" t="s">
        <v>66</v>
      </c>
      <c r="G444" s="9" t="s">
        <v>442</v>
      </c>
      <c r="H444" s="9" t="s">
        <v>12</v>
      </c>
      <c r="I444" s="9" t="s">
        <v>12</v>
      </c>
      <c r="J444" s="9" t="s">
        <v>13</v>
      </c>
      <c r="K444" s="261" t="s">
        <v>110</v>
      </c>
      <c r="M444" s="262">
        <v>41</v>
      </c>
      <c r="N444" s="262">
        <v>41</v>
      </c>
      <c r="O444" s="262">
        <v>41</v>
      </c>
      <c r="P444" s="262">
        <v>41</v>
      </c>
      <c r="Q444" s="262">
        <v>41</v>
      </c>
      <c r="R444" s="262">
        <v>41</v>
      </c>
      <c r="S444" s="262">
        <v>41</v>
      </c>
      <c r="T444" s="262">
        <v>41</v>
      </c>
      <c r="U444" s="262">
        <v>41</v>
      </c>
      <c r="V444" s="262">
        <v>41</v>
      </c>
      <c r="W444" s="262">
        <v>41</v>
      </c>
      <c r="X444" s="262">
        <v>41</v>
      </c>
      <c r="Y444" s="262">
        <f t="shared" si="7"/>
        <v>492</v>
      </c>
    </row>
    <row r="445" spans="1:25" s="261" customFormat="1" ht="11.25" customHeight="1">
      <c r="A445" s="261">
        <v>2014</v>
      </c>
      <c r="B445" s="261" t="s">
        <v>573</v>
      </c>
      <c r="C445" s="261" t="s">
        <v>32</v>
      </c>
      <c r="D445" s="9" t="s">
        <v>32</v>
      </c>
      <c r="E445" s="261" t="s">
        <v>12</v>
      </c>
      <c r="F445" s="261" t="s">
        <v>66</v>
      </c>
      <c r="G445" s="9" t="s">
        <v>442</v>
      </c>
      <c r="H445" s="9" t="s">
        <v>12</v>
      </c>
      <c r="I445" s="9" t="s">
        <v>12</v>
      </c>
      <c r="J445" s="9" t="s">
        <v>13</v>
      </c>
      <c r="K445" s="261" t="s">
        <v>68</v>
      </c>
      <c r="M445" s="262">
        <v>200</v>
      </c>
      <c r="N445" s="262">
        <v>200</v>
      </c>
      <c r="O445" s="262">
        <v>200</v>
      </c>
      <c r="P445" s="262">
        <v>200</v>
      </c>
      <c r="Q445" s="262">
        <v>200</v>
      </c>
      <c r="R445" s="262">
        <v>200</v>
      </c>
      <c r="S445" s="262">
        <v>200</v>
      </c>
      <c r="T445" s="262">
        <v>200</v>
      </c>
      <c r="U445" s="262">
        <v>200</v>
      </c>
      <c r="V445" s="262">
        <v>200</v>
      </c>
      <c r="W445" s="262">
        <v>200</v>
      </c>
      <c r="X445" s="262">
        <v>200</v>
      </c>
      <c r="Y445" s="262">
        <f t="shared" si="7"/>
        <v>2400</v>
      </c>
    </row>
    <row r="446" spans="1:25" s="261" customFormat="1" ht="11.25" customHeight="1">
      <c r="A446" s="261">
        <v>2014</v>
      </c>
      <c r="B446" s="261" t="s">
        <v>573</v>
      </c>
      <c r="C446" s="261" t="s">
        <v>32</v>
      </c>
      <c r="D446" s="9" t="s">
        <v>32</v>
      </c>
      <c r="E446" s="261" t="s">
        <v>12</v>
      </c>
      <c r="F446" s="261" t="s">
        <v>66</v>
      </c>
      <c r="G446" s="9" t="s">
        <v>442</v>
      </c>
      <c r="H446" s="9" t="s">
        <v>12</v>
      </c>
      <c r="I446" s="9" t="s">
        <v>12</v>
      </c>
      <c r="J446" s="9" t="s">
        <v>13</v>
      </c>
      <c r="K446" s="261" t="s">
        <v>123</v>
      </c>
      <c r="M446" s="262">
        <v>41</v>
      </c>
      <c r="N446" s="262">
        <v>41</v>
      </c>
      <c r="O446" s="262">
        <v>41</v>
      </c>
      <c r="P446" s="262">
        <v>41</v>
      </c>
      <c r="Q446" s="262">
        <v>41</v>
      </c>
      <c r="R446" s="262">
        <v>41</v>
      </c>
      <c r="S446" s="262">
        <v>41</v>
      </c>
      <c r="T446" s="262">
        <v>41</v>
      </c>
      <c r="U446" s="262">
        <v>41</v>
      </c>
      <c r="V446" s="262">
        <v>41</v>
      </c>
      <c r="W446" s="262">
        <v>41</v>
      </c>
      <c r="X446" s="262">
        <v>41</v>
      </c>
      <c r="Y446" s="262">
        <f t="shared" si="7"/>
        <v>492</v>
      </c>
    </row>
    <row r="447" spans="1:25" s="261" customFormat="1" ht="11.25" customHeight="1">
      <c r="A447" s="261">
        <v>2014</v>
      </c>
      <c r="B447" s="261" t="s">
        <v>573</v>
      </c>
      <c r="C447" s="261" t="s">
        <v>32</v>
      </c>
      <c r="D447" s="9" t="s">
        <v>32</v>
      </c>
      <c r="E447" s="261" t="s">
        <v>12</v>
      </c>
      <c r="F447" s="261" t="s">
        <v>66</v>
      </c>
      <c r="G447" s="9" t="s">
        <v>442</v>
      </c>
      <c r="H447" s="9" t="s">
        <v>12</v>
      </c>
      <c r="I447" s="9" t="s">
        <v>12</v>
      </c>
      <c r="J447" s="9" t="s">
        <v>13</v>
      </c>
      <c r="K447" s="261" t="s">
        <v>126</v>
      </c>
      <c r="M447" s="262">
        <v>41</v>
      </c>
      <c r="N447" s="262">
        <v>41</v>
      </c>
      <c r="O447" s="262">
        <v>41</v>
      </c>
      <c r="P447" s="262">
        <v>41</v>
      </c>
      <c r="Q447" s="262">
        <v>41</v>
      </c>
      <c r="R447" s="262">
        <v>41</v>
      </c>
      <c r="S447" s="262">
        <v>41</v>
      </c>
      <c r="T447" s="262">
        <v>41</v>
      </c>
      <c r="U447" s="262">
        <v>41</v>
      </c>
      <c r="V447" s="262">
        <v>41</v>
      </c>
      <c r="W447" s="262">
        <v>41</v>
      </c>
      <c r="X447" s="262">
        <v>41</v>
      </c>
      <c r="Y447" s="262">
        <f t="shared" si="7"/>
        <v>492</v>
      </c>
    </row>
    <row r="448" spans="1:25" s="261" customFormat="1" ht="11.25" customHeight="1">
      <c r="A448" s="261">
        <v>2014</v>
      </c>
      <c r="B448" s="261" t="s">
        <v>573</v>
      </c>
      <c r="C448" s="261" t="s">
        <v>32</v>
      </c>
      <c r="D448" s="9" t="s">
        <v>32</v>
      </c>
      <c r="E448" s="261" t="s">
        <v>12</v>
      </c>
      <c r="F448" s="261" t="s">
        <v>66</v>
      </c>
      <c r="G448" s="9" t="s">
        <v>442</v>
      </c>
      <c r="H448" s="9" t="s">
        <v>12</v>
      </c>
      <c r="I448" s="9" t="s">
        <v>12</v>
      </c>
      <c r="J448" s="9" t="s">
        <v>13</v>
      </c>
      <c r="K448" s="261" t="s">
        <v>264</v>
      </c>
      <c r="M448" s="262">
        <v>91</v>
      </c>
      <c r="N448" s="262">
        <v>91</v>
      </c>
      <c r="O448" s="262">
        <v>91</v>
      </c>
      <c r="P448" s="262">
        <v>91</v>
      </c>
      <c r="Q448" s="262">
        <v>91</v>
      </c>
      <c r="R448" s="262">
        <v>91</v>
      </c>
      <c r="S448" s="262">
        <v>91</v>
      </c>
      <c r="T448" s="262">
        <v>91</v>
      </c>
      <c r="U448" s="262">
        <v>91</v>
      </c>
      <c r="V448" s="262">
        <v>91</v>
      </c>
      <c r="W448" s="262">
        <v>91</v>
      </c>
      <c r="X448" s="262">
        <v>91</v>
      </c>
      <c r="Y448" s="262">
        <f t="shared" si="7"/>
        <v>1092</v>
      </c>
    </row>
    <row r="449" spans="1:25" s="261" customFormat="1" ht="11.25" customHeight="1">
      <c r="A449" s="261">
        <v>2014</v>
      </c>
      <c r="B449" s="261" t="s">
        <v>573</v>
      </c>
      <c r="C449" s="261" t="s">
        <v>32</v>
      </c>
      <c r="D449" s="9" t="s">
        <v>32</v>
      </c>
      <c r="E449" s="261" t="s">
        <v>12</v>
      </c>
      <c r="F449" s="261" t="s">
        <v>66</v>
      </c>
      <c r="G449" s="9" t="s">
        <v>442</v>
      </c>
      <c r="H449" s="9" t="s">
        <v>12</v>
      </c>
      <c r="I449" s="9" t="s">
        <v>12</v>
      </c>
      <c r="J449" s="9" t="s">
        <v>13</v>
      </c>
      <c r="K449" s="261" t="s">
        <v>69</v>
      </c>
      <c r="M449" s="262">
        <v>200</v>
      </c>
      <c r="N449" s="262">
        <v>200</v>
      </c>
      <c r="O449" s="262">
        <v>200</v>
      </c>
      <c r="P449" s="262">
        <v>200</v>
      </c>
      <c r="Q449" s="262">
        <v>200</v>
      </c>
      <c r="R449" s="262">
        <v>200</v>
      </c>
      <c r="S449" s="262">
        <v>200</v>
      </c>
      <c r="T449" s="262">
        <v>200</v>
      </c>
      <c r="U449" s="262">
        <v>200</v>
      </c>
      <c r="V449" s="262">
        <v>200</v>
      </c>
      <c r="W449" s="262">
        <v>200</v>
      </c>
      <c r="X449" s="262">
        <v>200</v>
      </c>
      <c r="Y449" s="262">
        <f t="shared" si="7"/>
        <v>2400</v>
      </c>
    </row>
    <row r="450" spans="1:25" s="261" customFormat="1" ht="11.25" customHeight="1">
      <c r="A450" s="261">
        <v>2014</v>
      </c>
      <c r="B450" s="261" t="s">
        <v>573</v>
      </c>
      <c r="C450" s="261" t="s">
        <v>32</v>
      </c>
      <c r="D450" s="9" t="s">
        <v>32</v>
      </c>
      <c r="E450" s="261" t="s">
        <v>12</v>
      </c>
      <c r="F450" s="261" t="s">
        <v>66</v>
      </c>
      <c r="G450" s="9" t="s">
        <v>442</v>
      </c>
      <c r="H450" s="9" t="s">
        <v>12</v>
      </c>
      <c r="I450" s="9" t="s">
        <v>12</v>
      </c>
      <c r="J450" s="9" t="s">
        <v>13</v>
      </c>
      <c r="K450" s="261" t="s">
        <v>273</v>
      </c>
      <c r="M450" s="262">
        <v>91</v>
      </c>
      <c r="N450" s="262">
        <v>91</v>
      </c>
      <c r="O450" s="262">
        <v>91</v>
      </c>
      <c r="P450" s="262">
        <v>91</v>
      </c>
      <c r="Q450" s="262">
        <v>91</v>
      </c>
      <c r="R450" s="262">
        <v>91</v>
      </c>
      <c r="S450" s="262">
        <v>91</v>
      </c>
      <c r="T450" s="262">
        <v>91</v>
      </c>
      <c r="U450" s="262">
        <v>91</v>
      </c>
      <c r="V450" s="262">
        <v>91</v>
      </c>
      <c r="W450" s="262">
        <v>91</v>
      </c>
      <c r="X450" s="262">
        <v>91</v>
      </c>
      <c r="Y450" s="262">
        <f t="shared" ref="Y450:Y513" si="8">SUM(M450:X450)</f>
        <v>1092</v>
      </c>
    </row>
    <row r="451" spans="1:25" s="261" customFormat="1" ht="11.25" customHeight="1">
      <c r="A451" s="261">
        <v>2014</v>
      </c>
      <c r="B451" s="261" t="s">
        <v>573</v>
      </c>
      <c r="C451" s="261" t="s">
        <v>32</v>
      </c>
      <c r="D451" s="9" t="s">
        <v>32</v>
      </c>
      <c r="E451" s="261" t="s">
        <v>12</v>
      </c>
      <c r="F451" s="261" t="s">
        <v>66</v>
      </c>
      <c r="G451" s="9" t="s">
        <v>442</v>
      </c>
      <c r="H451" s="9" t="s">
        <v>12</v>
      </c>
      <c r="I451" s="9" t="s">
        <v>12</v>
      </c>
      <c r="J451" s="9" t="s">
        <v>13</v>
      </c>
      <c r="K451" s="261" t="s">
        <v>106</v>
      </c>
      <c r="M451" s="262">
        <v>41</v>
      </c>
      <c r="N451" s="262">
        <v>41</v>
      </c>
      <c r="O451" s="262">
        <v>41</v>
      </c>
      <c r="P451" s="262">
        <v>41</v>
      </c>
      <c r="Q451" s="262">
        <v>41</v>
      </c>
      <c r="R451" s="262">
        <v>41</v>
      </c>
      <c r="S451" s="262">
        <v>41</v>
      </c>
      <c r="T451" s="262">
        <v>41</v>
      </c>
      <c r="U451" s="262">
        <v>41</v>
      </c>
      <c r="V451" s="262">
        <v>41</v>
      </c>
      <c r="W451" s="262">
        <v>41</v>
      </c>
      <c r="X451" s="262">
        <v>41</v>
      </c>
      <c r="Y451" s="262">
        <f t="shared" si="8"/>
        <v>492</v>
      </c>
    </row>
    <row r="452" spans="1:25" s="261" customFormat="1" ht="11.25" customHeight="1">
      <c r="A452" s="261">
        <v>2014</v>
      </c>
      <c r="B452" s="261" t="s">
        <v>573</v>
      </c>
      <c r="C452" s="261" t="s">
        <v>32</v>
      </c>
      <c r="D452" s="9" t="s">
        <v>32</v>
      </c>
      <c r="E452" s="261" t="s">
        <v>12</v>
      </c>
      <c r="F452" s="261" t="s">
        <v>66</v>
      </c>
      <c r="G452" s="9" t="s">
        <v>442</v>
      </c>
      <c r="H452" s="9" t="s">
        <v>12</v>
      </c>
      <c r="I452" s="9" t="s">
        <v>12</v>
      </c>
      <c r="J452" s="9" t="s">
        <v>13</v>
      </c>
      <c r="K452" s="261" t="s">
        <v>124</v>
      </c>
      <c r="M452" s="262">
        <v>41</v>
      </c>
      <c r="N452" s="262">
        <v>41</v>
      </c>
      <c r="O452" s="262">
        <v>41</v>
      </c>
      <c r="P452" s="262">
        <v>41</v>
      </c>
      <c r="Q452" s="262">
        <v>41</v>
      </c>
      <c r="R452" s="262">
        <v>41</v>
      </c>
      <c r="S452" s="262">
        <v>41</v>
      </c>
      <c r="T452" s="262">
        <v>41</v>
      </c>
      <c r="U452" s="262">
        <v>41</v>
      </c>
      <c r="V452" s="262">
        <v>41</v>
      </c>
      <c r="W452" s="262">
        <v>41</v>
      </c>
      <c r="X452" s="262">
        <v>41</v>
      </c>
      <c r="Y452" s="262">
        <f t="shared" si="8"/>
        <v>492</v>
      </c>
    </row>
    <row r="453" spans="1:25" s="261" customFormat="1" ht="11.25" customHeight="1">
      <c r="A453" s="261">
        <v>2014</v>
      </c>
      <c r="B453" s="261" t="s">
        <v>573</v>
      </c>
      <c r="C453" s="261" t="s">
        <v>32</v>
      </c>
      <c r="D453" s="9" t="s">
        <v>32</v>
      </c>
      <c r="E453" s="261" t="s">
        <v>12</v>
      </c>
      <c r="F453" s="261" t="s">
        <v>66</v>
      </c>
      <c r="G453" s="9" t="s">
        <v>442</v>
      </c>
      <c r="H453" s="9" t="s">
        <v>12</v>
      </c>
      <c r="I453" s="9" t="s">
        <v>12</v>
      </c>
      <c r="J453" s="9" t="s">
        <v>13</v>
      </c>
      <c r="K453" s="261" t="s">
        <v>72</v>
      </c>
      <c r="M453" s="262">
        <v>91</v>
      </c>
      <c r="N453" s="262">
        <v>91</v>
      </c>
      <c r="O453" s="262">
        <v>91</v>
      </c>
      <c r="P453" s="262">
        <v>91</v>
      </c>
      <c r="Q453" s="262">
        <v>91</v>
      </c>
      <c r="R453" s="262">
        <v>91</v>
      </c>
      <c r="S453" s="262">
        <v>91</v>
      </c>
      <c r="T453" s="262">
        <v>91</v>
      </c>
      <c r="U453" s="262">
        <v>91</v>
      </c>
      <c r="V453" s="262">
        <v>91</v>
      </c>
      <c r="W453" s="262">
        <v>91</v>
      </c>
      <c r="X453" s="262">
        <v>91</v>
      </c>
      <c r="Y453" s="262">
        <f t="shared" si="8"/>
        <v>1092</v>
      </c>
    </row>
    <row r="454" spans="1:25" s="261" customFormat="1" ht="11.25" customHeight="1">
      <c r="A454" s="261">
        <v>2014</v>
      </c>
      <c r="B454" s="261" t="s">
        <v>573</v>
      </c>
      <c r="C454" s="261" t="s">
        <v>32</v>
      </c>
      <c r="D454" s="9" t="s">
        <v>32</v>
      </c>
      <c r="E454" s="261" t="s">
        <v>12</v>
      </c>
      <c r="F454" s="261" t="s">
        <v>66</v>
      </c>
      <c r="G454" s="9" t="s">
        <v>442</v>
      </c>
      <c r="H454" s="9" t="s">
        <v>12</v>
      </c>
      <c r="I454" s="9" t="s">
        <v>12</v>
      </c>
      <c r="J454" s="9" t="s">
        <v>13</v>
      </c>
      <c r="K454" s="261" t="s">
        <v>118</v>
      </c>
      <c r="M454" s="262">
        <v>41</v>
      </c>
      <c r="N454" s="262">
        <v>41</v>
      </c>
      <c r="O454" s="262">
        <v>41</v>
      </c>
      <c r="P454" s="262">
        <v>41</v>
      </c>
      <c r="Q454" s="262">
        <v>41</v>
      </c>
      <c r="R454" s="262">
        <v>41</v>
      </c>
      <c r="S454" s="262">
        <v>41</v>
      </c>
      <c r="T454" s="262">
        <v>41</v>
      </c>
      <c r="U454" s="262">
        <v>41</v>
      </c>
      <c r="V454" s="262">
        <v>41</v>
      </c>
      <c r="W454" s="262">
        <v>41</v>
      </c>
      <c r="X454" s="262">
        <v>41</v>
      </c>
      <c r="Y454" s="262">
        <f t="shared" si="8"/>
        <v>492</v>
      </c>
    </row>
    <row r="455" spans="1:25" s="261" customFormat="1" ht="11.25" customHeight="1">
      <c r="A455" s="261">
        <v>2014</v>
      </c>
      <c r="B455" s="261" t="s">
        <v>573</v>
      </c>
      <c r="C455" s="261" t="s">
        <v>32</v>
      </c>
      <c r="D455" s="9" t="s">
        <v>32</v>
      </c>
      <c r="E455" s="261" t="s">
        <v>12</v>
      </c>
      <c r="F455" s="261" t="s">
        <v>66</v>
      </c>
      <c r="G455" s="9" t="s">
        <v>442</v>
      </c>
      <c r="H455" s="9" t="s">
        <v>12</v>
      </c>
      <c r="I455" s="9" t="s">
        <v>12</v>
      </c>
      <c r="J455" s="9" t="s">
        <v>13</v>
      </c>
      <c r="K455" s="261" t="s">
        <v>266</v>
      </c>
      <c r="M455" s="262">
        <v>91</v>
      </c>
      <c r="N455" s="262">
        <v>91</v>
      </c>
      <c r="O455" s="262">
        <v>91</v>
      </c>
      <c r="P455" s="262">
        <v>91</v>
      </c>
      <c r="Q455" s="262">
        <v>91</v>
      </c>
      <c r="R455" s="262">
        <v>91</v>
      </c>
      <c r="S455" s="262">
        <v>91</v>
      </c>
      <c r="T455" s="262">
        <v>91</v>
      </c>
      <c r="U455" s="262">
        <v>91</v>
      </c>
      <c r="V455" s="262">
        <v>91</v>
      </c>
      <c r="W455" s="262">
        <v>91</v>
      </c>
      <c r="X455" s="262">
        <v>91</v>
      </c>
      <c r="Y455" s="262">
        <f t="shared" si="8"/>
        <v>1092</v>
      </c>
    </row>
    <row r="456" spans="1:25" s="261" customFormat="1" ht="11.25" customHeight="1">
      <c r="A456" s="261">
        <v>2014</v>
      </c>
      <c r="B456" s="261" t="s">
        <v>573</v>
      </c>
      <c r="C456" s="261" t="s">
        <v>32</v>
      </c>
      <c r="D456" s="9" t="s">
        <v>32</v>
      </c>
      <c r="E456" s="261" t="s">
        <v>12</v>
      </c>
      <c r="F456" s="261" t="s">
        <v>66</v>
      </c>
      <c r="G456" s="9" t="s">
        <v>442</v>
      </c>
      <c r="H456" s="9" t="s">
        <v>12</v>
      </c>
      <c r="I456" s="9" t="s">
        <v>12</v>
      </c>
      <c r="J456" s="9" t="s">
        <v>13</v>
      </c>
      <c r="K456" s="261" t="s">
        <v>128</v>
      </c>
      <c r="M456" s="262">
        <v>41</v>
      </c>
      <c r="N456" s="262">
        <v>41</v>
      </c>
      <c r="O456" s="262">
        <v>41</v>
      </c>
      <c r="P456" s="262">
        <v>41</v>
      </c>
      <c r="Q456" s="262">
        <v>41</v>
      </c>
      <c r="R456" s="262">
        <v>41</v>
      </c>
      <c r="S456" s="262">
        <v>41</v>
      </c>
      <c r="T456" s="262">
        <v>41</v>
      </c>
      <c r="U456" s="262">
        <v>41</v>
      </c>
      <c r="V456" s="262">
        <v>41</v>
      </c>
      <c r="W456" s="262">
        <v>41</v>
      </c>
      <c r="X456" s="262">
        <v>41</v>
      </c>
      <c r="Y456" s="262">
        <f t="shared" si="8"/>
        <v>492</v>
      </c>
    </row>
    <row r="457" spans="1:25" s="261" customFormat="1" ht="11.25" customHeight="1">
      <c r="A457" s="261">
        <v>2014</v>
      </c>
      <c r="B457" s="261" t="s">
        <v>573</v>
      </c>
      <c r="C457" s="261" t="s">
        <v>32</v>
      </c>
      <c r="D457" s="9" t="s">
        <v>32</v>
      </c>
      <c r="E457" s="261" t="s">
        <v>12</v>
      </c>
      <c r="F457" s="261" t="s">
        <v>66</v>
      </c>
      <c r="G457" s="9" t="s">
        <v>442</v>
      </c>
      <c r="H457" s="9" t="s">
        <v>12</v>
      </c>
      <c r="I457" s="9" t="s">
        <v>12</v>
      </c>
      <c r="J457" s="9" t="s">
        <v>13</v>
      </c>
      <c r="K457" s="261" t="s">
        <v>270</v>
      </c>
      <c r="M457" s="262">
        <v>91</v>
      </c>
      <c r="N457" s="262">
        <v>91</v>
      </c>
      <c r="O457" s="262">
        <v>91</v>
      </c>
      <c r="P457" s="262">
        <v>91</v>
      </c>
      <c r="Q457" s="262">
        <v>91</v>
      </c>
      <c r="R457" s="262">
        <v>91</v>
      </c>
      <c r="S457" s="262">
        <v>91</v>
      </c>
      <c r="T457" s="262">
        <v>91</v>
      </c>
      <c r="U457" s="262">
        <v>91</v>
      </c>
      <c r="V457" s="262">
        <v>91</v>
      </c>
      <c r="W457" s="262">
        <v>91</v>
      </c>
      <c r="X457" s="262">
        <v>91</v>
      </c>
      <c r="Y457" s="262">
        <f t="shared" si="8"/>
        <v>1092</v>
      </c>
    </row>
    <row r="458" spans="1:25" s="261" customFormat="1" ht="11.25" customHeight="1">
      <c r="A458" s="261">
        <v>2014</v>
      </c>
      <c r="B458" s="261" t="s">
        <v>573</v>
      </c>
      <c r="C458" s="261" t="s">
        <v>32</v>
      </c>
      <c r="D458" s="9" t="s">
        <v>32</v>
      </c>
      <c r="E458" s="261" t="s">
        <v>12</v>
      </c>
      <c r="F458" s="261" t="s">
        <v>66</v>
      </c>
      <c r="G458" s="9" t="s">
        <v>442</v>
      </c>
      <c r="H458" s="9" t="s">
        <v>12</v>
      </c>
      <c r="I458" s="9" t="s">
        <v>12</v>
      </c>
      <c r="J458" s="9" t="s">
        <v>13</v>
      </c>
      <c r="K458" s="261" t="s">
        <v>115</v>
      </c>
      <c r="M458" s="262">
        <v>41</v>
      </c>
      <c r="N458" s="262">
        <v>41</v>
      </c>
      <c r="O458" s="262">
        <v>41</v>
      </c>
      <c r="P458" s="262">
        <v>41</v>
      </c>
      <c r="Q458" s="262">
        <v>41</v>
      </c>
      <c r="R458" s="262">
        <v>41</v>
      </c>
      <c r="S458" s="262">
        <v>41</v>
      </c>
      <c r="T458" s="262">
        <v>41</v>
      </c>
      <c r="U458" s="262">
        <v>41</v>
      </c>
      <c r="V458" s="262">
        <v>41</v>
      </c>
      <c r="W458" s="262">
        <v>41</v>
      </c>
      <c r="X458" s="262">
        <v>41</v>
      </c>
      <c r="Y458" s="262">
        <f t="shared" si="8"/>
        <v>492</v>
      </c>
    </row>
    <row r="459" spans="1:25" s="261" customFormat="1" ht="11.25" customHeight="1">
      <c r="A459" s="261">
        <v>2014</v>
      </c>
      <c r="B459" s="261" t="s">
        <v>573</v>
      </c>
      <c r="C459" s="261" t="s">
        <v>32</v>
      </c>
      <c r="D459" s="9" t="s">
        <v>32</v>
      </c>
      <c r="E459" s="261" t="s">
        <v>12</v>
      </c>
      <c r="F459" s="261" t="s">
        <v>66</v>
      </c>
      <c r="G459" s="9" t="s">
        <v>442</v>
      </c>
      <c r="H459" s="9" t="s">
        <v>12</v>
      </c>
      <c r="I459" s="9" t="s">
        <v>12</v>
      </c>
      <c r="J459" s="9" t="s">
        <v>13</v>
      </c>
      <c r="K459" s="261" t="s">
        <v>121</v>
      </c>
      <c r="M459" s="262">
        <v>41</v>
      </c>
      <c r="N459" s="262">
        <v>41</v>
      </c>
      <c r="O459" s="262">
        <v>41</v>
      </c>
      <c r="P459" s="262">
        <v>41</v>
      </c>
      <c r="Q459" s="262">
        <v>41</v>
      </c>
      <c r="R459" s="262">
        <v>41</v>
      </c>
      <c r="S459" s="262">
        <v>41</v>
      </c>
      <c r="T459" s="262">
        <v>41</v>
      </c>
      <c r="U459" s="262">
        <v>41</v>
      </c>
      <c r="V459" s="262">
        <v>41</v>
      </c>
      <c r="W459" s="262">
        <v>41</v>
      </c>
      <c r="X459" s="262">
        <v>41</v>
      </c>
      <c r="Y459" s="262">
        <f t="shared" si="8"/>
        <v>492</v>
      </c>
    </row>
    <row r="460" spans="1:25" s="261" customFormat="1" ht="11.25" customHeight="1">
      <c r="A460" s="261">
        <v>2014</v>
      </c>
      <c r="B460" s="261" t="s">
        <v>573</v>
      </c>
      <c r="C460" s="261" t="s">
        <v>32</v>
      </c>
      <c r="D460" s="9" t="s">
        <v>32</v>
      </c>
      <c r="E460" s="261" t="s">
        <v>12</v>
      </c>
      <c r="F460" s="261" t="s">
        <v>66</v>
      </c>
      <c r="G460" s="9" t="s">
        <v>442</v>
      </c>
      <c r="H460" s="9" t="s">
        <v>12</v>
      </c>
      <c r="I460" s="9" t="s">
        <v>12</v>
      </c>
      <c r="J460" s="9" t="s">
        <v>13</v>
      </c>
      <c r="K460" s="261" t="s">
        <v>119</v>
      </c>
      <c r="M460" s="262">
        <v>41</v>
      </c>
      <c r="N460" s="262">
        <v>41</v>
      </c>
      <c r="O460" s="262">
        <v>41</v>
      </c>
      <c r="P460" s="262">
        <v>41</v>
      </c>
      <c r="Q460" s="262">
        <v>41</v>
      </c>
      <c r="R460" s="262">
        <v>41</v>
      </c>
      <c r="S460" s="262">
        <v>41</v>
      </c>
      <c r="T460" s="262">
        <v>41</v>
      </c>
      <c r="U460" s="262">
        <v>41</v>
      </c>
      <c r="V460" s="262">
        <v>41</v>
      </c>
      <c r="W460" s="262">
        <v>41</v>
      </c>
      <c r="X460" s="262">
        <v>41</v>
      </c>
      <c r="Y460" s="262">
        <f t="shared" si="8"/>
        <v>492</v>
      </c>
    </row>
    <row r="461" spans="1:25" s="261" customFormat="1" ht="11.25" customHeight="1">
      <c r="A461" s="261">
        <v>2014</v>
      </c>
      <c r="B461" s="261" t="s">
        <v>573</v>
      </c>
      <c r="C461" s="261" t="s">
        <v>32</v>
      </c>
      <c r="D461" s="9" t="s">
        <v>32</v>
      </c>
      <c r="E461" s="261" t="s">
        <v>12</v>
      </c>
      <c r="F461" s="261" t="s">
        <v>66</v>
      </c>
      <c r="G461" s="9" t="s">
        <v>442</v>
      </c>
      <c r="H461" s="9" t="s">
        <v>12</v>
      </c>
      <c r="I461" s="9" t="s">
        <v>12</v>
      </c>
      <c r="J461" s="9" t="s">
        <v>13</v>
      </c>
      <c r="K461" s="261" t="s">
        <v>265</v>
      </c>
      <c r="M461" s="262">
        <v>91</v>
      </c>
      <c r="N461" s="262">
        <v>91</v>
      </c>
      <c r="O461" s="262">
        <v>91</v>
      </c>
      <c r="P461" s="262">
        <v>91</v>
      </c>
      <c r="Q461" s="262">
        <v>91</v>
      </c>
      <c r="R461" s="262">
        <v>91</v>
      </c>
      <c r="S461" s="262">
        <v>91</v>
      </c>
      <c r="T461" s="262">
        <v>91</v>
      </c>
      <c r="U461" s="262">
        <v>91</v>
      </c>
      <c r="V461" s="262">
        <v>91</v>
      </c>
      <c r="W461" s="262">
        <v>91</v>
      </c>
      <c r="X461" s="262">
        <v>91</v>
      </c>
      <c r="Y461" s="262">
        <f t="shared" si="8"/>
        <v>1092</v>
      </c>
    </row>
    <row r="462" spans="1:25" s="261" customFormat="1" ht="11.25" customHeight="1">
      <c r="A462" s="261">
        <v>2014</v>
      </c>
      <c r="B462" s="261" t="s">
        <v>573</v>
      </c>
      <c r="C462" s="261" t="s">
        <v>32</v>
      </c>
      <c r="D462" s="9" t="s">
        <v>32</v>
      </c>
      <c r="E462" s="261" t="s">
        <v>12</v>
      </c>
      <c r="F462" s="261" t="s">
        <v>66</v>
      </c>
      <c r="G462" s="9" t="s">
        <v>442</v>
      </c>
      <c r="H462" s="9" t="s">
        <v>12</v>
      </c>
      <c r="I462" s="9" t="s">
        <v>12</v>
      </c>
      <c r="J462" s="9" t="s">
        <v>13</v>
      </c>
      <c r="K462" s="261" t="s">
        <v>111</v>
      </c>
      <c r="M462" s="262">
        <v>41</v>
      </c>
      <c r="N462" s="262">
        <v>41</v>
      </c>
      <c r="O462" s="262">
        <v>41</v>
      </c>
      <c r="P462" s="262">
        <v>41</v>
      </c>
      <c r="Q462" s="262">
        <v>41</v>
      </c>
      <c r="R462" s="262">
        <v>41</v>
      </c>
      <c r="S462" s="262">
        <v>41</v>
      </c>
      <c r="T462" s="262">
        <v>41</v>
      </c>
      <c r="U462" s="262">
        <v>41</v>
      </c>
      <c r="V462" s="262">
        <v>41</v>
      </c>
      <c r="W462" s="262">
        <v>41</v>
      </c>
      <c r="X462" s="262">
        <v>41</v>
      </c>
      <c r="Y462" s="262">
        <f t="shared" si="8"/>
        <v>492</v>
      </c>
    </row>
    <row r="463" spans="1:25" s="261" customFormat="1" ht="11.25" customHeight="1">
      <c r="A463" s="261">
        <v>2014</v>
      </c>
      <c r="B463" s="261" t="s">
        <v>573</v>
      </c>
      <c r="C463" s="261" t="s">
        <v>32</v>
      </c>
      <c r="D463" s="9" t="s">
        <v>32</v>
      </c>
      <c r="E463" s="261" t="s">
        <v>12</v>
      </c>
      <c r="F463" s="261" t="s">
        <v>66</v>
      </c>
      <c r="G463" s="9" t="s">
        <v>442</v>
      </c>
      <c r="H463" s="9" t="s">
        <v>12</v>
      </c>
      <c r="I463" s="9" t="s">
        <v>12</v>
      </c>
      <c r="J463" s="9" t="s">
        <v>13</v>
      </c>
      <c r="K463" s="261" t="s">
        <v>109</v>
      </c>
      <c r="M463" s="262">
        <v>41</v>
      </c>
      <c r="N463" s="262">
        <v>41</v>
      </c>
      <c r="O463" s="262">
        <v>41</v>
      </c>
      <c r="P463" s="262">
        <v>41</v>
      </c>
      <c r="Q463" s="262">
        <v>41</v>
      </c>
      <c r="R463" s="262">
        <v>41</v>
      </c>
      <c r="S463" s="262">
        <v>41</v>
      </c>
      <c r="T463" s="262">
        <v>41</v>
      </c>
      <c r="U463" s="262">
        <v>41</v>
      </c>
      <c r="V463" s="262">
        <v>41</v>
      </c>
      <c r="W463" s="262">
        <v>41</v>
      </c>
      <c r="X463" s="262">
        <v>41</v>
      </c>
      <c r="Y463" s="262">
        <f t="shared" si="8"/>
        <v>492</v>
      </c>
    </row>
    <row r="464" spans="1:25" s="261" customFormat="1" ht="11.25" customHeight="1">
      <c r="A464" s="261">
        <v>2014</v>
      </c>
      <c r="B464" s="261" t="s">
        <v>573</v>
      </c>
      <c r="C464" s="261" t="s">
        <v>32</v>
      </c>
      <c r="D464" s="9" t="s">
        <v>32</v>
      </c>
      <c r="E464" s="261" t="s">
        <v>12</v>
      </c>
      <c r="F464" s="261" t="s">
        <v>66</v>
      </c>
      <c r="G464" s="9" t="s">
        <v>442</v>
      </c>
      <c r="H464" s="9" t="s">
        <v>12</v>
      </c>
      <c r="I464" s="9" t="s">
        <v>12</v>
      </c>
      <c r="J464" s="9" t="s">
        <v>13</v>
      </c>
      <c r="M464" s="262">
        <v>41</v>
      </c>
      <c r="N464" s="262">
        <v>41</v>
      </c>
      <c r="O464" s="262">
        <v>41</v>
      </c>
      <c r="P464" s="262">
        <v>83</v>
      </c>
      <c r="Q464" s="262">
        <v>126</v>
      </c>
      <c r="R464" s="262">
        <v>126</v>
      </c>
      <c r="S464" s="262">
        <v>126</v>
      </c>
      <c r="T464" s="262">
        <v>126</v>
      </c>
      <c r="U464" s="262">
        <v>126</v>
      </c>
      <c r="V464" s="262">
        <v>83</v>
      </c>
      <c r="W464" s="262">
        <v>83</v>
      </c>
      <c r="X464" s="262">
        <v>83</v>
      </c>
      <c r="Y464" s="262">
        <f t="shared" si="8"/>
        <v>1085</v>
      </c>
    </row>
    <row r="465" spans="1:25" s="261" customFormat="1" ht="11.25" customHeight="1">
      <c r="A465" s="261">
        <v>2014</v>
      </c>
      <c r="B465" s="261" t="s">
        <v>573</v>
      </c>
      <c r="C465" s="261" t="s">
        <v>32</v>
      </c>
      <c r="D465" s="9" t="s">
        <v>32</v>
      </c>
      <c r="E465" s="261" t="s">
        <v>25</v>
      </c>
      <c r="F465" s="261" t="s">
        <v>33</v>
      </c>
      <c r="G465" s="9" t="s">
        <v>442</v>
      </c>
      <c r="H465" s="9" t="s">
        <v>25</v>
      </c>
      <c r="I465" s="9" t="s">
        <v>25</v>
      </c>
      <c r="J465" s="9" t="s">
        <v>36</v>
      </c>
      <c r="M465" s="262">
        <v>5000</v>
      </c>
      <c r="N465" s="262">
        <v>5000</v>
      </c>
      <c r="O465" s="262">
        <v>5000</v>
      </c>
      <c r="P465" s="262">
        <v>5000</v>
      </c>
      <c r="Q465" s="262">
        <v>5000</v>
      </c>
      <c r="R465" s="262">
        <v>5000</v>
      </c>
      <c r="S465" s="262">
        <v>5000</v>
      </c>
      <c r="T465" s="262">
        <v>5000</v>
      </c>
      <c r="U465" s="262">
        <v>5000</v>
      </c>
      <c r="V465" s="262">
        <v>5000</v>
      </c>
      <c r="W465" s="262">
        <v>5000</v>
      </c>
      <c r="X465" s="262">
        <v>5000</v>
      </c>
      <c r="Y465" s="262">
        <f t="shared" si="8"/>
        <v>60000</v>
      </c>
    </row>
    <row r="466" spans="1:25" s="261" customFormat="1" ht="11.25" customHeight="1">
      <c r="A466" s="261">
        <v>2014</v>
      </c>
      <c r="B466" s="261" t="s">
        <v>573</v>
      </c>
      <c r="C466" s="261" t="s">
        <v>32</v>
      </c>
      <c r="D466" s="9" t="s">
        <v>32</v>
      </c>
      <c r="E466" s="261" t="s">
        <v>148</v>
      </c>
      <c r="F466" s="261" t="s">
        <v>33</v>
      </c>
      <c r="G466" s="9" t="s">
        <v>442</v>
      </c>
      <c r="H466" s="9" t="s">
        <v>148</v>
      </c>
      <c r="I466" s="9" t="s">
        <v>148</v>
      </c>
      <c r="J466" s="9" t="s">
        <v>148</v>
      </c>
      <c r="M466" s="262">
        <v>61800</v>
      </c>
      <c r="N466" s="262">
        <v>61800</v>
      </c>
      <c r="O466" s="262">
        <v>61800</v>
      </c>
      <c r="P466" s="262">
        <v>61800</v>
      </c>
      <c r="Q466" s="262">
        <v>61800</v>
      </c>
      <c r="R466" s="262">
        <v>61800</v>
      </c>
      <c r="S466" s="262">
        <v>61800</v>
      </c>
      <c r="T466" s="262">
        <v>61800</v>
      </c>
      <c r="U466" s="262">
        <v>61800</v>
      </c>
      <c r="V466" s="262">
        <v>61800</v>
      </c>
      <c r="W466" s="262">
        <v>61800</v>
      </c>
      <c r="X466" s="262">
        <v>61800</v>
      </c>
      <c r="Y466" s="262">
        <f t="shared" si="8"/>
        <v>741600</v>
      </c>
    </row>
    <row r="467" spans="1:25" s="261" customFormat="1" ht="11.25" customHeight="1">
      <c r="A467" s="261">
        <v>2014</v>
      </c>
      <c r="B467" s="261" t="s">
        <v>573</v>
      </c>
      <c r="C467" s="261" t="s">
        <v>32</v>
      </c>
      <c r="D467" s="9" t="s">
        <v>32</v>
      </c>
      <c r="E467" s="261" t="s">
        <v>37</v>
      </c>
      <c r="F467" s="261" t="s">
        <v>33</v>
      </c>
      <c r="G467" s="9" t="s">
        <v>442</v>
      </c>
      <c r="H467" s="9" t="s">
        <v>37</v>
      </c>
      <c r="I467" s="9" t="s">
        <v>37</v>
      </c>
      <c r="J467" s="9" t="s">
        <v>37</v>
      </c>
      <c r="K467" s="261" t="s">
        <v>38</v>
      </c>
      <c r="M467" s="262">
        <v>1000</v>
      </c>
      <c r="N467" s="262">
        <v>1000</v>
      </c>
      <c r="O467" s="262">
        <v>1000</v>
      </c>
      <c r="P467" s="262">
        <v>1000</v>
      </c>
      <c r="Q467" s="262">
        <v>1000</v>
      </c>
      <c r="R467" s="262">
        <v>1000</v>
      </c>
      <c r="S467" s="262">
        <v>1000</v>
      </c>
      <c r="T467" s="262">
        <v>1000</v>
      </c>
      <c r="U467" s="262">
        <v>1000</v>
      </c>
      <c r="V467" s="262">
        <v>1000</v>
      </c>
      <c r="W467" s="262">
        <v>1000</v>
      </c>
      <c r="X467" s="262">
        <v>1000</v>
      </c>
      <c r="Y467" s="262">
        <f t="shared" si="8"/>
        <v>12000</v>
      </c>
    </row>
    <row r="468" spans="1:25" s="261" customFormat="1" ht="11.25" customHeight="1">
      <c r="A468" s="261">
        <v>2014</v>
      </c>
      <c r="B468" s="261" t="s">
        <v>573</v>
      </c>
      <c r="C468" s="261" t="s">
        <v>32</v>
      </c>
      <c r="D468" s="9" t="s">
        <v>32</v>
      </c>
      <c r="E468" s="261" t="s">
        <v>149</v>
      </c>
      <c r="F468" s="261" t="s">
        <v>33</v>
      </c>
      <c r="G468" s="9" t="s">
        <v>442</v>
      </c>
      <c r="H468" s="9" t="s">
        <v>149</v>
      </c>
      <c r="I468" s="9" t="s">
        <v>149</v>
      </c>
      <c r="J468" s="9" t="s">
        <v>150</v>
      </c>
      <c r="M468" s="262">
        <v>5774.43</v>
      </c>
      <c r="N468" s="262">
        <v>5774.43</v>
      </c>
      <c r="O468" s="262">
        <v>5774.43</v>
      </c>
      <c r="P468" s="262">
        <v>5774.43</v>
      </c>
      <c r="Q468" s="262">
        <v>5774.43</v>
      </c>
      <c r="R468" s="262">
        <v>5774.43</v>
      </c>
      <c r="S468" s="262">
        <v>5774.43</v>
      </c>
      <c r="T468" s="262">
        <v>5774.43</v>
      </c>
      <c r="U468" s="262">
        <v>5774.43</v>
      </c>
      <c r="V468" s="262">
        <v>5774.43</v>
      </c>
      <c r="W468" s="262">
        <v>5774.43</v>
      </c>
      <c r="X468" s="262">
        <v>5774.43</v>
      </c>
      <c r="Y468" s="262">
        <f t="shared" si="8"/>
        <v>69293.16</v>
      </c>
    </row>
    <row r="469" spans="1:25" s="261" customFormat="1" ht="11.25" customHeight="1">
      <c r="A469" s="261">
        <v>2014</v>
      </c>
      <c r="B469" s="261" t="s">
        <v>573</v>
      </c>
      <c r="C469" s="261" t="s">
        <v>32</v>
      </c>
      <c r="D469" s="9" t="s">
        <v>32</v>
      </c>
      <c r="E469" s="261" t="s">
        <v>18</v>
      </c>
      <c r="F469" s="261" t="s">
        <v>33</v>
      </c>
      <c r="G469" s="9" t="s">
        <v>442</v>
      </c>
      <c r="H469" s="9" t="s">
        <v>18</v>
      </c>
      <c r="I469" s="9" t="s">
        <v>18</v>
      </c>
      <c r="J469" s="9" t="s">
        <v>34</v>
      </c>
      <c r="K469" s="261" t="s">
        <v>39</v>
      </c>
      <c r="M469" s="262">
        <v>200</v>
      </c>
      <c r="N469" s="262">
        <v>200</v>
      </c>
      <c r="O469" s="262">
        <v>200</v>
      </c>
      <c r="P469" s="262">
        <v>200</v>
      </c>
      <c r="Q469" s="262">
        <v>200</v>
      </c>
      <c r="R469" s="262">
        <v>200</v>
      </c>
      <c r="S469" s="262">
        <v>200</v>
      </c>
      <c r="T469" s="262">
        <v>200</v>
      </c>
      <c r="U469" s="262">
        <v>200</v>
      </c>
      <c r="V469" s="262">
        <v>200</v>
      </c>
      <c r="W469" s="262">
        <v>200</v>
      </c>
      <c r="X469" s="262">
        <v>200</v>
      </c>
      <c r="Y469" s="262">
        <f t="shared" si="8"/>
        <v>2400</v>
      </c>
    </row>
    <row r="470" spans="1:25" s="261" customFormat="1" ht="11.25" customHeight="1">
      <c r="A470" s="261">
        <v>2014</v>
      </c>
      <c r="B470" s="261" t="s">
        <v>573</v>
      </c>
      <c r="C470" s="261" t="s">
        <v>32</v>
      </c>
      <c r="D470" s="9" t="s">
        <v>32</v>
      </c>
      <c r="E470" s="261" t="s">
        <v>18</v>
      </c>
      <c r="F470" s="261" t="s">
        <v>33</v>
      </c>
      <c r="G470" s="9" t="s">
        <v>442</v>
      </c>
      <c r="H470" s="9" t="s">
        <v>18</v>
      </c>
      <c r="I470" s="9" t="s">
        <v>18</v>
      </c>
      <c r="J470" s="9" t="s">
        <v>34</v>
      </c>
      <c r="K470" s="261" t="s">
        <v>35</v>
      </c>
      <c r="M470" s="262">
        <v>200</v>
      </c>
      <c r="N470" s="262">
        <v>200</v>
      </c>
      <c r="O470" s="262">
        <v>200</v>
      </c>
      <c r="P470" s="262">
        <v>200</v>
      </c>
      <c r="Q470" s="262">
        <v>200</v>
      </c>
      <c r="R470" s="262">
        <v>200</v>
      </c>
      <c r="S470" s="262">
        <v>200</v>
      </c>
      <c r="T470" s="262">
        <v>200</v>
      </c>
      <c r="U470" s="262">
        <v>200</v>
      </c>
      <c r="V470" s="262">
        <v>200</v>
      </c>
      <c r="W470" s="262">
        <v>200</v>
      </c>
      <c r="X470" s="262">
        <v>200</v>
      </c>
      <c r="Y470" s="262">
        <f t="shared" si="8"/>
        <v>2400</v>
      </c>
    </row>
    <row r="471" spans="1:25" s="261" customFormat="1" ht="11.25" customHeight="1">
      <c r="A471" s="261">
        <v>2014</v>
      </c>
      <c r="B471" s="261" t="s">
        <v>573</v>
      </c>
      <c r="C471" s="261" t="s">
        <v>32</v>
      </c>
      <c r="D471" s="9" t="s">
        <v>32</v>
      </c>
      <c r="E471" s="261" t="s">
        <v>18</v>
      </c>
      <c r="F471" s="261" t="s">
        <v>33</v>
      </c>
      <c r="G471" s="9" t="s">
        <v>442</v>
      </c>
      <c r="H471" s="9" t="s">
        <v>18</v>
      </c>
      <c r="I471" s="9" t="s">
        <v>18</v>
      </c>
      <c r="J471" s="9" t="s">
        <v>43</v>
      </c>
      <c r="K471" s="261" t="s">
        <v>38</v>
      </c>
      <c r="M471" s="262">
        <v>2500</v>
      </c>
      <c r="N471" s="262">
        <v>2500</v>
      </c>
      <c r="O471" s="262">
        <v>2500</v>
      </c>
      <c r="P471" s="262">
        <v>2500</v>
      </c>
      <c r="Q471" s="262">
        <v>2500</v>
      </c>
      <c r="R471" s="262">
        <v>2500</v>
      </c>
      <c r="S471" s="262">
        <v>2500</v>
      </c>
      <c r="T471" s="262">
        <v>2500</v>
      </c>
      <c r="U471" s="262">
        <v>2500</v>
      </c>
      <c r="V471" s="262">
        <v>2500</v>
      </c>
      <c r="W471" s="262">
        <v>2500</v>
      </c>
      <c r="X471" s="262">
        <v>2500</v>
      </c>
      <c r="Y471" s="262">
        <f t="shared" si="8"/>
        <v>30000</v>
      </c>
    </row>
    <row r="472" spans="1:25" s="261" customFormat="1" ht="11.25" customHeight="1">
      <c r="A472" s="261">
        <v>2014</v>
      </c>
      <c r="B472" s="261" t="s">
        <v>573</v>
      </c>
      <c r="C472" s="261" t="s">
        <v>32</v>
      </c>
      <c r="D472" s="9" t="s">
        <v>32</v>
      </c>
      <c r="E472" s="261" t="s">
        <v>18</v>
      </c>
      <c r="F472" s="261" t="s">
        <v>33</v>
      </c>
      <c r="G472" s="9" t="s">
        <v>442</v>
      </c>
      <c r="H472" s="9" t="s">
        <v>18</v>
      </c>
      <c r="I472" s="9" t="s">
        <v>18</v>
      </c>
      <c r="J472" s="9" t="s">
        <v>43</v>
      </c>
      <c r="K472" s="261" t="s">
        <v>39</v>
      </c>
      <c r="M472" s="262">
        <v>1000</v>
      </c>
      <c r="N472" s="262">
        <v>1000</v>
      </c>
      <c r="O472" s="262">
        <v>1000</v>
      </c>
      <c r="P472" s="262">
        <v>1000</v>
      </c>
      <c r="Q472" s="262">
        <v>1000</v>
      </c>
      <c r="R472" s="262">
        <v>1000</v>
      </c>
      <c r="S472" s="262">
        <v>1000</v>
      </c>
      <c r="T472" s="262">
        <v>1000</v>
      </c>
      <c r="U472" s="262">
        <v>1000</v>
      </c>
      <c r="V472" s="262">
        <v>1000</v>
      </c>
      <c r="W472" s="262">
        <v>1000</v>
      </c>
      <c r="X472" s="262">
        <v>1000</v>
      </c>
      <c r="Y472" s="262">
        <f t="shared" si="8"/>
        <v>12000</v>
      </c>
    </row>
    <row r="473" spans="1:25" s="261" customFormat="1" ht="11.25" customHeight="1">
      <c r="A473" s="261">
        <v>2014</v>
      </c>
      <c r="B473" s="261" t="s">
        <v>573</v>
      </c>
      <c r="C473" s="261" t="s">
        <v>32</v>
      </c>
      <c r="D473" s="9" t="s">
        <v>32</v>
      </c>
      <c r="E473" s="261" t="s">
        <v>18</v>
      </c>
      <c r="F473" s="261" t="s">
        <v>33</v>
      </c>
      <c r="G473" s="9" t="s">
        <v>442</v>
      </c>
      <c r="H473" s="9" t="s">
        <v>18</v>
      </c>
      <c r="I473" s="9" t="s">
        <v>18</v>
      </c>
      <c r="J473" s="9" t="s">
        <v>43</v>
      </c>
      <c r="K473" s="261" t="s">
        <v>35</v>
      </c>
      <c r="M473" s="262">
        <v>800</v>
      </c>
      <c r="N473" s="262">
        <v>800</v>
      </c>
      <c r="O473" s="262">
        <v>800</v>
      </c>
      <c r="P473" s="262">
        <v>800</v>
      </c>
      <c r="Q473" s="262">
        <v>1100</v>
      </c>
      <c r="R473" s="262">
        <v>1100</v>
      </c>
      <c r="S473" s="262"/>
      <c r="T473" s="262">
        <v>1100</v>
      </c>
      <c r="U473" s="262">
        <v>800</v>
      </c>
      <c r="V473" s="262">
        <v>800</v>
      </c>
      <c r="W473" s="262">
        <v>800</v>
      </c>
      <c r="X473" s="262">
        <v>800</v>
      </c>
      <c r="Y473" s="262">
        <f t="shared" si="8"/>
        <v>9700</v>
      </c>
    </row>
    <row r="474" spans="1:25" s="261" customFormat="1" ht="11.25" customHeight="1">
      <c r="A474" s="261">
        <v>2014</v>
      </c>
      <c r="B474" s="261" t="s">
        <v>573</v>
      </c>
      <c r="C474" s="261" t="s">
        <v>32</v>
      </c>
      <c r="D474" s="9" t="s">
        <v>32</v>
      </c>
      <c r="E474" s="261" t="s">
        <v>18</v>
      </c>
      <c r="F474" s="261" t="s">
        <v>33</v>
      </c>
      <c r="G474" s="9" t="s">
        <v>442</v>
      </c>
      <c r="H474" s="9" t="s">
        <v>18</v>
      </c>
      <c r="I474" s="9" t="s">
        <v>18</v>
      </c>
      <c r="J474" s="9" t="s">
        <v>44</v>
      </c>
      <c r="K474" s="261" t="s">
        <v>50</v>
      </c>
      <c r="M474" s="262">
        <v>300</v>
      </c>
      <c r="N474" s="262">
        <v>300</v>
      </c>
      <c r="O474" s="262">
        <v>300</v>
      </c>
      <c r="P474" s="262">
        <v>300</v>
      </c>
      <c r="Q474" s="262">
        <v>300</v>
      </c>
      <c r="R474" s="262">
        <v>300</v>
      </c>
      <c r="S474" s="262">
        <v>300</v>
      </c>
      <c r="T474" s="262">
        <v>300</v>
      </c>
      <c r="U474" s="262">
        <v>300</v>
      </c>
      <c r="V474" s="262">
        <v>300</v>
      </c>
      <c r="W474" s="262">
        <v>300</v>
      </c>
      <c r="X474" s="262">
        <v>300</v>
      </c>
      <c r="Y474" s="262">
        <f t="shared" si="8"/>
        <v>3600</v>
      </c>
    </row>
    <row r="475" spans="1:25" s="261" customFormat="1" ht="11.25" customHeight="1">
      <c r="A475" s="261">
        <v>2014</v>
      </c>
      <c r="B475" s="261" t="s">
        <v>573</v>
      </c>
      <c r="C475" s="261" t="s">
        <v>32</v>
      </c>
      <c r="D475" s="9" t="s">
        <v>32</v>
      </c>
      <c r="E475" s="261" t="s">
        <v>18</v>
      </c>
      <c r="F475" s="261" t="s">
        <v>33</v>
      </c>
      <c r="G475" s="9" t="s">
        <v>442</v>
      </c>
      <c r="H475" s="9" t="s">
        <v>18</v>
      </c>
      <c r="I475" s="9" t="s">
        <v>18</v>
      </c>
      <c r="J475" s="9" t="s">
        <v>44</v>
      </c>
      <c r="K475" s="261" t="s">
        <v>51</v>
      </c>
      <c r="M475" s="262">
        <v>1600</v>
      </c>
      <c r="N475" s="262">
        <v>1600</v>
      </c>
      <c r="O475" s="262">
        <v>1600</v>
      </c>
      <c r="P475" s="262">
        <v>1600</v>
      </c>
      <c r="Q475" s="262">
        <v>1900</v>
      </c>
      <c r="R475" s="262">
        <v>1800</v>
      </c>
      <c r="S475" s="262">
        <v>1600</v>
      </c>
      <c r="T475" s="262">
        <v>1800</v>
      </c>
      <c r="U475" s="262">
        <v>1600</v>
      </c>
      <c r="V475" s="262">
        <v>1600</v>
      </c>
      <c r="W475" s="262">
        <v>1600</v>
      </c>
      <c r="X475" s="262">
        <v>1600</v>
      </c>
      <c r="Y475" s="262">
        <f t="shared" si="8"/>
        <v>19900</v>
      </c>
    </row>
    <row r="476" spans="1:25" s="261" customFormat="1" ht="11.25" customHeight="1">
      <c r="A476" s="261">
        <v>2014</v>
      </c>
      <c r="B476" s="261" t="s">
        <v>573</v>
      </c>
      <c r="C476" s="261" t="s">
        <v>32</v>
      </c>
      <c r="D476" s="9" t="s">
        <v>32</v>
      </c>
      <c r="E476" s="261" t="s">
        <v>18</v>
      </c>
      <c r="F476" s="261" t="s">
        <v>33</v>
      </c>
      <c r="G476" s="9" t="s">
        <v>442</v>
      </c>
      <c r="H476" s="9" t="s">
        <v>18</v>
      </c>
      <c r="I476" s="9" t="s">
        <v>18</v>
      </c>
      <c r="J476" s="9" t="s">
        <v>44</v>
      </c>
      <c r="K476" s="261" t="s">
        <v>42</v>
      </c>
      <c r="M476" s="262">
        <v>800</v>
      </c>
      <c r="N476" s="262">
        <v>800</v>
      </c>
      <c r="O476" s="262">
        <v>800</v>
      </c>
      <c r="P476" s="262">
        <v>800</v>
      </c>
      <c r="Q476" s="262">
        <v>1000</v>
      </c>
      <c r="R476" s="262">
        <v>1000</v>
      </c>
      <c r="S476" s="262">
        <v>800</v>
      </c>
      <c r="T476" s="262">
        <v>1000</v>
      </c>
      <c r="U476" s="262">
        <v>800</v>
      </c>
      <c r="V476" s="262">
        <v>800</v>
      </c>
      <c r="W476" s="262">
        <v>800</v>
      </c>
      <c r="X476" s="262">
        <v>800</v>
      </c>
      <c r="Y476" s="262">
        <f t="shared" si="8"/>
        <v>10200</v>
      </c>
    </row>
    <row r="477" spans="1:25" s="261" customFormat="1" ht="11.25" customHeight="1">
      <c r="A477" s="261">
        <v>2014</v>
      </c>
      <c r="B477" s="261" t="s">
        <v>573</v>
      </c>
      <c r="C477" s="261" t="s">
        <v>32</v>
      </c>
      <c r="D477" s="9" t="s">
        <v>32</v>
      </c>
      <c r="E477" s="261" t="s">
        <v>18</v>
      </c>
      <c r="F477" s="261" t="s">
        <v>33</v>
      </c>
      <c r="G477" s="9" t="s">
        <v>442</v>
      </c>
      <c r="H477" s="9" t="s">
        <v>18</v>
      </c>
      <c r="I477" s="9" t="s">
        <v>18</v>
      </c>
      <c r="J477" s="9" t="s">
        <v>44</v>
      </c>
      <c r="K477" s="261" t="s">
        <v>49</v>
      </c>
      <c r="M477" s="262">
        <v>800</v>
      </c>
      <c r="N477" s="262">
        <v>800</v>
      </c>
      <c r="O477" s="262">
        <v>800</v>
      </c>
      <c r="P477" s="262">
        <v>800</v>
      </c>
      <c r="Q477" s="262">
        <v>800</v>
      </c>
      <c r="R477" s="262">
        <v>800</v>
      </c>
      <c r="S477" s="262">
        <v>800</v>
      </c>
      <c r="T477" s="262">
        <v>800</v>
      </c>
      <c r="U477" s="262">
        <v>800</v>
      </c>
      <c r="V477" s="262">
        <v>800</v>
      </c>
      <c r="W477" s="262">
        <v>800</v>
      </c>
      <c r="X477" s="262">
        <v>800</v>
      </c>
      <c r="Y477" s="262">
        <f t="shared" si="8"/>
        <v>9600</v>
      </c>
    </row>
    <row r="478" spans="1:25" s="261" customFormat="1" ht="11.25" customHeight="1">
      <c r="A478" s="261">
        <v>2014</v>
      </c>
      <c r="B478" s="261" t="s">
        <v>573</v>
      </c>
      <c r="C478" s="261" t="s">
        <v>32</v>
      </c>
      <c r="D478" s="9" t="s">
        <v>32</v>
      </c>
      <c r="E478" s="261" t="s">
        <v>18</v>
      </c>
      <c r="F478" s="261" t="s">
        <v>33</v>
      </c>
      <c r="G478" s="9" t="s">
        <v>442</v>
      </c>
      <c r="H478" s="9" t="s">
        <v>18</v>
      </c>
      <c r="I478" s="9" t="s">
        <v>18</v>
      </c>
      <c r="J478" s="9" t="s">
        <v>44</v>
      </c>
      <c r="K478" s="261" t="s">
        <v>40</v>
      </c>
      <c r="M478" s="262">
        <v>980</v>
      </c>
      <c r="N478" s="262">
        <v>980</v>
      </c>
      <c r="O478" s="262">
        <v>980</v>
      </c>
      <c r="P478" s="262">
        <v>980</v>
      </c>
      <c r="Q478" s="262">
        <v>980</v>
      </c>
      <c r="R478" s="262">
        <v>980</v>
      </c>
      <c r="S478" s="262">
        <v>980</v>
      </c>
      <c r="T478" s="262">
        <v>980</v>
      </c>
      <c r="U478" s="262">
        <v>980</v>
      </c>
      <c r="V478" s="262">
        <v>980</v>
      </c>
      <c r="W478" s="262">
        <v>980</v>
      </c>
      <c r="X478" s="262">
        <v>980</v>
      </c>
      <c r="Y478" s="262">
        <f t="shared" si="8"/>
        <v>11760</v>
      </c>
    </row>
    <row r="479" spans="1:25" s="261" customFormat="1" ht="11.25" customHeight="1">
      <c r="A479" s="261">
        <v>2014</v>
      </c>
      <c r="B479" s="261" t="s">
        <v>573</v>
      </c>
      <c r="C479" s="261" t="s">
        <v>32</v>
      </c>
      <c r="D479" s="9" t="s">
        <v>32</v>
      </c>
      <c r="E479" s="261" t="s">
        <v>18</v>
      </c>
      <c r="F479" s="261" t="s">
        <v>33</v>
      </c>
      <c r="G479" s="9" t="s">
        <v>442</v>
      </c>
      <c r="H479" s="9" t="s">
        <v>18</v>
      </c>
      <c r="I479" s="9" t="s">
        <v>18</v>
      </c>
      <c r="J479" s="9" t="s">
        <v>44</v>
      </c>
      <c r="K479" s="261" t="s">
        <v>35</v>
      </c>
      <c r="M479" s="262"/>
      <c r="N479" s="262"/>
      <c r="O479" s="262"/>
      <c r="P479" s="262"/>
      <c r="Q479" s="262"/>
      <c r="R479" s="262"/>
      <c r="S479" s="262">
        <v>800</v>
      </c>
      <c r="T479" s="262"/>
      <c r="U479" s="262"/>
      <c r="V479" s="262"/>
      <c r="W479" s="262"/>
      <c r="X479" s="262"/>
      <c r="Y479" s="262">
        <f t="shared" si="8"/>
        <v>800</v>
      </c>
    </row>
    <row r="480" spans="1:25" s="261" customFormat="1" ht="11.25" customHeight="1">
      <c r="A480" s="261">
        <v>2014</v>
      </c>
      <c r="B480" s="261" t="s">
        <v>573</v>
      </c>
      <c r="C480" s="261" t="s">
        <v>32</v>
      </c>
      <c r="D480" s="9" t="s">
        <v>32</v>
      </c>
      <c r="E480" s="261" t="s">
        <v>18</v>
      </c>
      <c r="F480" s="261" t="s">
        <v>33</v>
      </c>
      <c r="G480" s="9" t="s">
        <v>442</v>
      </c>
      <c r="H480" s="9" t="s">
        <v>18</v>
      </c>
      <c r="I480" s="9" t="s">
        <v>18</v>
      </c>
      <c r="J480" s="9" t="s">
        <v>44</v>
      </c>
      <c r="K480" s="261" t="s">
        <v>52</v>
      </c>
      <c r="M480" s="262">
        <v>300</v>
      </c>
      <c r="N480" s="262">
        <v>300</v>
      </c>
      <c r="O480" s="262">
        <v>300</v>
      </c>
      <c r="P480" s="262">
        <v>300</v>
      </c>
      <c r="Q480" s="262">
        <v>300</v>
      </c>
      <c r="R480" s="262">
        <v>300</v>
      </c>
      <c r="S480" s="262">
        <v>300</v>
      </c>
      <c r="T480" s="262">
        <v>300</v>
      </c>
      <c r="U480" s="262">
        <v>300</v>
      </c>
      <c r="V480" s="262">
        <v>300</v>
      </c>
      <c r="W480" s="262">
        <v>300</v>
      </c>
      <c r="X480" s="262">
        <v>300</v>
      </c>
      <c r="Y480" s="262">
        <f t="shared" si="8"/>
        <v>3600</v>
      </c>
    </row>
    <row r="481" spans="1:25" s="261" customFormat="1" ht="11.25" customHeight="1">
      <c r="A481" s="261">
        <v>2014</v>
      </c>
      <c r="B481" s="261" t="s">
        <v>573</v>
      </c>
      <c r="C481" s="261" t="s">
        <v>32</v>
      </c>
      <c r="D481" s="9" t="s">
        <v>32</v>
      </c>
      <c r="E481" s="261" t="s">
        <v>18</v>
      </c>
      <c r="F481" s="261" t="s">
        <v>33</v>
      </c>
      <c r="G481" s="9" t="s">
        <v>442</v>
      </c>
      <c r="H481" s="9" t="s">
        <v>18</v>
      </c>
      <c r="I481" s="9" t="s">
        <v>18</v>
      </c>
      <c r="J481" s="9" t="s">
        <v>44</v>
      </c>
      <c r="K481" s="261" t="s">
        <v>48</v>
      </c>
      <c r="M481" s="262">
        <v>300</v>
      </c>
      <c r="N481" s="262">
        <v>300</v>
      </c>
      <c r="O481" s="262">
        <v>300</v>
      </c>
      <c r="P481" s="262">
        <v>300</v>
      </c>
      <c r="Q481" s="262">
        <v>300</v>
      </c>
      <c r="R481" s="262">
        <v>300</v>
      </c>
      <c r="S481" s="262">
        <v>300</v>
      </c>
      <c r="T481" s="262">
        <v>300</v>
      </c>
      <c r="U481" s="262">
        <v>300</v>
      </c>
      <c r="V481" s="262">
        <v>300</v>
      </c>
      <c r="W481" s="262">
        <v>300</v>
      </c>
      <c r="X481" s="262">
        <v>300</v>
      </c>
      <c r="Y481" s="262">
        <f t="shared" si="8"/>
        <v>3600</v>
      </c>
    </row>
    <row r="482" spans="1:25" s="261" customFormat="1" ht="11.25" customHeight="1">
      <c r="A482" s="261">
        <v>2014</v>
      </c>
      <c r="B482" s="261" t="s">
        <v>573</v>
      </c>
      <c r="C482" s="261" t="s">
        <v>32</v>
      </c>
      <c r="D482" s="9" t="s">
        <v>32</v>
      </c>
      <c r="E482" s="261" t="s">
        <v>18</v>
      </c>
      <c r="F482" s="261" t="s">
        <v>33</v>
      </c>
      <c r="G482" s="9" t="s">
        <v>442</v>
      </c>
      <c r="H482" s="9" t="s">
        <v>18</v>
      </c>
      <c r="I482" s="9" t="s">
        <v>18</v>
      </c>
      <c r="J482" s="9" t="s">
        <v>44</v>
      </c>
      <c r="K482" s="261" t="s">
        <v>47</v>
      </c>
      <c r="M482" s="262">
        <v>800</v>
      </c>
      <c r="N482" s="262">
        <v>800</v>
      </c>
      <c r="O482" s="262">
        <v>800</v>
      </c>
      <c r="P482" s="262">
        <v>800</v>
      </c>
      <c r="Q482" s="262">
        <v>800</v>
      </c>
      <c r="R482" s="262">
        <v>800</v>
      </c>
      <c r="S482" s="262">
        <v>800</v>
      </c>
      <c r="T482" s="262">
        <v>800</v>
      </c>
      <c r="U482" s="262">
        <v>800</v>
      </c>
      <c r="V482" s="262">
        <v>800</v>
      </c>
      <c r="W482" s="262">
        <v>800</v>
      </c>
      <c r="X482" s="262">
        <v>800</v>
      </c>
      <c r="Y482" s="262">
        <f t="shared" si="8"/>
        <v>9600</v>
      </c>
    </row>
    <row r="483" spans="1:25" s="261" customFormat="1" ht="11.25" customHeight="1">
      <c r="A483" s="261">
        <v>2014</v>
      </c>
      <c r="B483" s="261" t="s">
        <v>574</v>
      </c>
      <c r="C483" s="261" t="s">
        <v>32</v>
      </c>
      <c r="D483" s="9" t="s">
        <v>32</v>
      </c>
      <c r="E483" s="261" t="s">
        <v>45</v>
      </c>
      <c r="F483" s="261" t="s">
        <v>33</v>
      </c>
      <c r="G483" s="9" t="s">
        <v>442</v>
      </c>
      <c r="H483" s="9" t="s">
        <v>45</v>
      </c>
      <c r="I483" s="9" t="s">
        <v>45</v>
      </c>
      <c r="J483" s="9" t="s">
        <v>46</v>
      </c>
      <c r="M483" s="262">
        <v>9700</v>
      </c>
      <c r="N483" s="262">
        <v>9700</v>
      </c>
      <c r="O483" s="262">
        <v>9700</v>
      </c>
      <c r="P483" s="262">
        <v>12300</v>
      </c>
      <c r="Q483" s="262">
        <v>9700</v>
      </c>
      <c r="R483" s="262">
        <v>9700</v>
      </c>
      <c r="S483" s="262">
        <v>9700</v>
      </c>
      <c r="T483" s="262">
        <v>9700</v>
      </c>
      <c r="U483" s="262">
        <v>9700</v>
      </c>
      <c r="V483" s="262">
        <v>9700</v>
      </c>
      <c r="W483" s="262">
        <v>9700</v>
      </c>
      <c r="X483" s="262">
        <v>9700</v>
      </c>
      <c r="Y483" s="262">
        <f t="shared" si="8"/>
        <v>119000</v>
      </c>
    </row>
    <row r="484" spans="1:25" s="261" customFormat="1" ht="11.25" customHeight="1">
      <c r="A484" s="261">
        <v>2014</v>
      </c>
      <c r="B484" s="261" t="s">
        <v>573</v>
      </c>
      <c r="C484" s="261" t="s">
        <v>32</v>
      </c>
      <c r="D484" s="9" t="s">
        <v>9</v>
      </c>
      <c r="E484" s="261" t="s">
        <v>67</v>
      </c>
      <c r="F484" s="261" t="s">
        <v>33</v>
      </c>
      <c r="G484" s="9" t="s">
        <v>442</v>
      </c>
      <c r="H484" s="9" t="s">
        <v>9</v>
      </c>
      <c r="I484" s="9" t="s">
        <v>67</v>
      </c>
      <c r="J484" s="9" t="s">
        <v>67</v>
      </c>
      <c r="M484" s="262"/>
      <c r="N484" s="262"/>
      <c r="O484" s="262"/>
      <c r="P484" s="262"/>
      <c r="Q484" s="262">
        <v>2000</v>
      </c>
      <c r="R484" s="262">
        <v>2000</v>
      </c>
      <c r="S484" s="262">
        <v>2000</v>
      </c>
      <c r="T484" s="262">
        <v>2000</v>
      </c>
      <c r="U484" s="262">
        <v>2000</v>
      </c>
      <c r="V484" s="262"/>
      <c r="W484" s="262"/>
      <c r="X484" s="262"/>
      <c r="Y484" s="262">
        <f t="shared" si="8"/>
        <v>10000</v>
      </c>
    </row>
    <row r="485" spans="1:25" s="261" customFormat="1" ht="11.25" customHeight="1">
      <c r="A485" s="261">
        <v>2014</v>
      </c>
      <c r="B485" s="261" t="s">
        <v>573</v>
      </c>
      <c r="C485" s="261" t="s">
        <v>32</v>
      </c>
      <c r="D485" s="9" t="s">
        <v>9</v>
      </c>
      <c r="E485" s="261" t="s">
        <v>10</v>
      </c>
      <c r="F485" s="261" t="s">
        <v>33</v>
      </c>
      <c r="G485" s="9" t="s">
        <v>442</v>
      </c>
      <c r="H485" s="9" t="s">
        <v>9</v>
      </c>
      <c r="I485" s="9" t="s">
        <v>10</v>
      </c>
      <c r="J485" s="9" t="s">
        <v>15</v>
      </c>
      <c r="L485" s="261" t="s">
        <v>431</v>
      </c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>
        <f t="shared" si="8"/>
        <v>0</v>
      </c>
    </row>
    <row r="486" spans="1:25" s="261" customFormat="1" ht="11.25" customHeight="1">
      <c r="A486" s="261">
        <v>2014</v>
      </c>
      <c r="B486" s="261" t="s">
        <v>573</v>
      </c>
      <c r="C486" s="261" t="s">
        <v>32</v>
      </c>
      <c r="D486" s="9" t="s">
        <v>9</v>
      </c>
      <c r="E486" s="261" t="s">
        <v>10</v>
      </c>
      <c r="F486" s="261" t="s">
        <v>33</v>
      </c>
      <c r="G486" s="9" t="s">
        <v>442</v>
      </c>
      <c r="H486" s="9" t="s">
        <v>9</v>
      </c>
      <c r="I486" s="9" t="s">
        <v>10</v>
      </c>
      <c r="J486" s="9" t="s">
        <v>15</v>
      </c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>
        <f t="shared" si="8"/>
        <v>0</v>
      </c>
    </row>
    <row r="487" spans="1:25" s="261" customFormat="1" ht="11.25" customHeight="1">
      <c r="A487" s="261">
        <v>2014</v>
      </c>
      <c r="B487" s="261" t="s">
        <v>573</v>
      </c>
      <c r="C487" s="261" t="s">
        <v>32</v>
      </c>
      <c r="D487" s="9" t="s">
        <v>32</v>
      </c>
      <c r="E487" s="261" t="s">
        <v>29</v>
      </c>
      <c r="F487" s="261" t="s">
        <v>33</v>
      </c>
      <c r="G487" s="9" t="s">
        <v>442</v>
      </c>
      <c r="H487" s="9" t="s">
        <v>29</v>
      </c>
      <c r="I487" s="9" t="s">
        <v>29</v>
      </c>
      <c r="J487" s="9" t="s">
        <v>31</v>
      </c>
      <c r="K487" s="261" t="s">
        <v>38</v>
      </c>
      <c r="M487" s="262">
        <v>250</v>
      </c>
      <c r="N487" s="262">
        <v>250</v>
      </c>
      <c r="O487" s="262">
        <v>250</v>
      </c>
      <c r="P487" s="262">
        <v>250</v>
      </c>
      <c r="Q487" s="262">
        <v>250</v>
      </c>
      <c r="R487" s="262">
        <v>250</v>
      </c>
      <c r="S487" s="262">
        <v>250</v>
      </c>
      <c r="T487" s="262">
        <v>250</v>
      </c>
      <c r="U487" s="262">
        <v>250</v>
      </c>
      <c r="V487" s="262">
        <v>250</v>
      </c>
      <c r="W487" s="262">
        <v>250</v>
      </c>
      <c r="X487" s="262">
        <v>250</v>
      </c>
      <c r="Y487" s="262">
        <f t="shared" si="8"/>
        <v>3000</v>
      </c>
    </row>
    <row r="488" spans="1:25" s="261" customFormat="1" ht="11.25" customHeight="1">
      <c r="A488" s="261">
        <v>2014</v>
      </c>
      <c r="B488" s="261" t="s">
        <v>573</v>
      </c>
      <c r="C488" s="261" t="s">
        <v>32</v>
      </c>
      <c r="D488" s="9" t="s">
        <v>32</v>
      </c>
      <c r="E488" s="261" t="s">
        <v>29</v>
      </c>
      <c r="F488" s="261" t="s">
        <v>33</v>
      </c>
      <c r="G488" s="9" t="s">
        <v>442</v>
      </c>
      <c r="H488" s="9" t="s">
        <v>29</v>
      </c>
      <c r="I488" s="9" t="s">
        <v>29</v>
      </c>
      <c r="J488" s="9" t="s">
        <v>30</v>
      </c>
      <c r="M488" s="262">
        <v>150</v>
      </c>
      <c r="N488" s="262">
        <v>150</v>
      </c>
      <c r="O488" s="262">
        <v>150</v>
      </c>
      <c r="P488" s="262">
        <v>150</v>
      </c>
      <c r="Q488" s="262">
        <v>150</v>
      </c>
      <c r="R488" s="262">
        <v>150</v>
      </c>
      <c r="S488" s="262">
        <v>150</v>
      </c>
      <c r="T488" s="262">
        <v>150</v>
      </c>
      <c r="U488" s="262">
        <v>150</v>
      </c>
      <c r="V488" s="262">
        <v>150</v>
      </c>
      <c r="W488" s="262">
        <v>150</v>
      </c>
      <c r="X488" s="262">
        <v>150</v>
      </c>
      <c r="Y488" s="262">
        <f t="shared" si="8"/>
        <v>1800</v>
      </c>
    </row>
    <row r="489" spans="1:25" s="261" customFormat="1" ht="11.25" customHeight="1">
      <c r="A489" s="261">
        <v>2014</v>
      </c>
      <c r="B489" s="261" t="s">
        <v>573</v>
      </c>
      <c r="C489" s="261" t="s">
        <v>32</v>
      </c>
      <c r="D489" s="9" t="s">
        <v>32</v>
      </c>
      <c r="E489" s="261" t="s">
        <v>12</v>
      </c>
      <c r="F489" s="261" t="s">
        <v>33</v>
      </c>
      <c r="G489" s="9" t="s">
        <v>442</v>
      </c>
      <c r="H489" s="9" t="s">
        <v>12</v>
      </c>
      <c r="I489" s="9" t="s">
        <v>12</v>
      </c>
      <c r="J489" s="9" t="s">
        <v>13</v>
      </c>
      <c r="K489" s="261" t="s">
        <v>50</v>
      </c>
      <c r="M489" s="262">
        <v>41</v>
      </c>
      <c r="N489" s="262">
        <v>61</v>
      </c>
      <c r="O489" s="262">
        <v>61</v>
      </c>
      <c r="P489" s="262">
        <v>61</v>
      </c>
      <c r="Q489" s="262">
        <v>61</v>
      </c>
      <c r="R489" s="262">
        <v>61</v>
      </c>
      <c r="S489" s="262">
        <v>61</v>
      </c>
      <c r="T489" s="262">
        <v>61</v>
      </c>
      <c r="U489" s="262">
        <v>61</v>
      </c>
      <c r="V489" s="262">
        <v>61</v>
      </c>
      <c r="W489" s="262">
        <v>61</v>
      </c>
      <c r="X489" s="262">
        <v>61</v>
      </c>
      <c r="Y489" s="262">
        <f t="shared" si="8"/>
        <v>712</v>
      </c>
    </row>
    <row r="490" spans="1:25" s="261" customFormat="1" ht="11.25" customHeight="1">
      <c r="A490" s="261">
        <v>2014</v>
      </c>
      <c r="B490" s="261" t="s">
        <v>573</v>
      </c>
      <c r="C490" s="261" t="s">
        <v>32</v>
      </c>
      <c r="D490" s="9" t="s">
        <v>32</v>
      </c>
      <c r="E490" s="261" t="s">
        <v>12</v>
      </c>
      <c r="F490" s="261" t="s">
        <v>33</v>
      </c>
      <c r="G490" s="9" t="s">
        <v>442</v>
      </c>
      <c r="H490" s="9" t="s">
        <v>12</v>
      </c>
      <c r="I490" s="9" t="s">
        <v>12</v>
      </c>
      <c r="J490" s="9" t="s">
        <v>13</v>
      </c>
      <c r="K490" s="261" t="s">
        <v>39</v>
      </c>
      <c r="M490" s="262">
        <v>91</v>
      </c>
      <c r="N490" s="262">
        <v>91</v>
      </c>
      <c r="O490" s="262">
        <v>91</v>
      </c>
      <c r="P490" s="262">
        <v>91</v>
      </c>
      <c r="Q490" s="262">
        <v>91</v>
      </c>
      <c r="R490" s="262">
        <v>91</v>
      </c>
      <c r="S490" s="262">
        <v>91</v>
      </c>
      <c r="T490" s="262">
        <v>91</v>
      </c>
      <c r="U490" s="262">
        <v>91</v>
      </c>
      <c r="V490" s="262">
        <v>91</v>
      </c>
      <c r="W490" s="262">
        <v>91</v>
      </c>
      <c r="X490" s="262">
        <v>91</v>
      </c>
      <c r="Y490" s="262">
        <f t="shared" si="8"/>
        <v>1092</v>
      </c>
    </row>
    <row r="491" spans="1:25" s="261" customFormat="1" ht="11.25" customHeight="1">
      <c r="A491" s="261">
        <v>2014</v>
      </c>
      <c r="B491" s="261" t="s">
        <v>573</v>
      </c>
      <c r="C491" s="261" t="s">
        <v>32</v>
      </c>
      <c r="D491" s="9" t="s">
        <v>32</v>
      </c>
      <c r="E491" s="261" t="s">
        <v>12</v>
      </c>
      <c r="F491" s="261" t="s">
        <v>33</v>
      </c>
      <c r="G491" s="9" t="s">
        <v>442</v>
      </c>
      <c r="H491" s="9" t="s">
        <v>12</v>
      </c>
      <c r="I491" s="9" t="s">
        <v>12</v>
      </c>
      <c r="J491" s="9" t="s">
        <v>13</v>
      </c>
      <c r="K491" s="261" t="s">
        <v>41</v>
      </c>
      <c r="M491" s="262">
        <v>91</v>
      </c>
      <c r="N491" s="262">
        <v>91</v>
      </c>
      <c r="O491" s="262">
        <v>91</v>
      </c>
      <c r="P491" s="262">
        <v>91</v>
      </c>
      <c r="Q491" s="262">
        <v>91</v>
      </c>
      <c r="R491" s="262">
        <v>91</v>
      </c>
      <c r="S491" s="262">
        <v>91</v>
      </c>
      <c r="T491" s="262">
        <v>91</v>
      </c>
      <c r="U491" s="262">
        <v>91</v>
      </c>
      <c r="V491" s="262">
        <v>91</v>
      </c>
      <c r="W491" s="262">
        <v>91</v>
      </c>
      <c r="X491" s="262">
        <v>91</v>
      </c>
      <c r="Y491" s="262">
        <f t="shared" si="8"/>
        <v>1092</v>
      </c>
    </row>
    <row r="492" spans="1:25" s="261" customFormat="1" ht="11.25" customHeight="1">
      <c r="A492" s="261">
        <v>2014</v>
      </c>
      <c r="B492" s="261" t="s">
        <v>573</v>
      </c>
      <c r="C492" s="261" t="s">
        <v>32</v>
      </c>
      <c r="D492" s="9" t="s">
        <v>32</v>
      </c>
      <c r="E492" s="261" t="s">
        <v>12</v>
      </c>
      <c r="F492" s="261" t="s">
        <v>33</v>
      </c>
      <c r="G492" s="9" t="s">
        <v>442</v>
      </c>
      <c r="H492" s="9" t="s">
        <v>12</v>
      </c>
      <c r="I492" s="9" t="s">
        <v>12</v>
      </c>
      <c r="J492" s="9" t="s">
        <v>13</v>
      </c>
      <c r="K492" s="261" t="s">
        <v>42</v>
      </c>
      <c r="M492" s="262">
        <v>91</v>
      </c>
      <c r="N492" s="262">
        <v>91</v>
      </c>
      <c r="O492" s="262">
        <v>91</v>
      </c>
      <c r="P492" s="262">
        <v>91</v>
      </c>
      <c r="Q492" s="262">
        <v>91</v>
      </c>
      <c r="R492" s="262">
        <v>91</v>
      </c>
      <c r="S492" s="262">
        <v>91</v>
      </c>
      <c r="T492" s="262">
        <v>91</v>
      </c>
      <c r="U492" s="262">
        <v>91</v>
      </c>
      <c r="V492" s="262">
        <v>91</v>
      </c>
      <c r="W492" s="262">
        <v>91</v>
      </c>
      <c r="X492" s="262">
        <v>91</v>
      </c>
      <c r="Y492" s="262">
        <f t="shared" si="8"/>
        <v>1092</v>
      </c>
    </row>
    <row r="493" spans="1:25" s="261" customFormat="1" ht="11.25" customHeight="1">
      <c r="A493" s="261">
        <v>2014</v>
      </c>
      <c r="B493" s="261" t="s">
        <v>573</v>
      </c>
      <c r="C493" s="261" t="s">
        <v>32</v>
      </c>
      <c r="D493" s="9" t="s">
        <v>32</v>
      </c>
      <c r="E493" s="261" t="s">
        <v>12</v>
      </c>
      <c r="F493" s="261" t="s">
        <v>33</v>
      </c>
      <c r="G493" s="9" t="s">
        <v>442</v>
      </c>
      <c r="H493" s="9" t="s">
        <v>12</v>
      </c>
      <c r="I493" s="9" t="s">
        <v>12</v>
      </c>
      <c r="J493" s="9" t="s">
        <v>13</v>
      </c>
      <c r="K493" s="261" t="s">
        <v>49</v>
      </c>
      <c r="M493" s="262">
        <v>91</v>
      </c>
      <c r="N493" s="262">
        <v>91</v>
      </c>
      <c r="O493" s="262">
        <v>91</v>
      </c>
      <c r="P493" s="262">
        <v>91</v>
      </c>
      <c r="Q493" s="262">
        <v>91</v>
      </c>
      <c r="R493" s="262">
        <v>91</v>
      </c>
      <c r="S493" s="262">
        <v>91</v>
      </c>
      <c r="T493" s="262">
        <v>91</v>
      </c>
      <c r="U493" s="262">
        <v>91</v>
      </c>
      <c r="V493" s="262">
        <v>91</v>
      </c>
      <c r="W493" s="262">
        <v>91</v>
      </c>
      <c r="X493" s="262">
        <v>91</v>
      </c>
      <c r="Y493" s="262">
        <f t="shared" si="8"/>
        <v>1092</v>
      </c>
    </row>
    <row r="494" spans="1:25" s="261" customFormat="1" ht="11.25" customHeight="1">
      <c r="A494" s="261">
        <v>2014</v>
      </c>
      <c r="B494" s="261" t="s">
        <v>573</v>
      </c>
      <c r="C494" s="261" t="s">
        <v>32</v>
      </c>
      <c r="D494" s="9" t="s">
        <v>32</v>
      </c>
      <c r="E494" s="261" t="s">
        <v>12</v>
      </c>
      <c r="F494" s="261" t="s">
        <v>33</v>
      </c>
      <c r="G494" s="9" t="s">
        <v>442</v>
      </c>
      <c r="H494" s="9" t="s">
        <v>12</v>
      </c>
      <c r="I494" s="9" t="s">
        <v>12</v>
      </c>
      <c r="J494" s="9" t="s">
        <v>13</v>
      </c>
      <c r="K494" s="261" t="s">
        <v>40</v>
      </c>
      <c r="M494" s="262">
        <v>91</v>
      </c>
      <c r="N494" s="262">
        <v>91</v>
      </c>
      <c r="O494" s="262">
        <v>91</v>
      </c>
      <c r="P494" s="262">
        <v>91</v>
      </c>
      <c r="Q494" s="262">
        <v>91</v>
      </c>
      <c r="R494" s="262">
        <v>91</v>
      </c>
      <c r="S494" s="262">
        <v>91</v>
      </c>
      <c r="T494" s="262">
        <v>91</v>
      </c>
      <c r="U494" s="262">
        <v>91</v>
      </c>
      <c r="V494" s="262">
        <v>91</v>
      </c>
      <c r="W494" s="262">
        <v>61</v>
      </c>
      <c r="X494" s="262">
        <v>91</v>
      </c>
      <c r="Y494" s="262">
        <f t="shared" si="8"/>
        <v>1062</v>
      </c>
    </row>
    <row r="495" spans="1:25" s="261" customFormat="1" ht="11.25" customHeight="1">
      <c r="A495" s="261">
        <v>2014</v>
      </c>
      <c r="B495" s="261" t="s">
        <v>573</v>
      </c>
      <c r="C495" s="261" t="s">
        <v>32</v>
      </c>
      <c r="D495" s="9" t="s">
        <v>32</v>
      </c>
      <c r="E495" s="261" t="s">
        <v>12</v>
      </c>
      <c r="F495" s="261" t="s">
        <v>33</v>
      </c>
      <c r="G495" s="9" t="s">
        <v>442</v>
      </c>
      <c r="H495" s="9" t="s">
        <v>12</v>
      </c>
      <c r="I495" s="9" t="s">
        <v>12</v>
      </c>
      <c r="J495" s="9" t="s">
        <v>13</v>
      </c>
      <c r="K495" s="261" t="s">
        <v>35</v>
      </c>
      <c r="M495" s="262">
        <v>91</v>
      </c>
      <c r="N495" s="262">
        <v>91</v>
      </c>
      <c r="O495" s="262">
        <v>91</v>
      </c>
      <c r="P495" s="262">
        <v>91</v>
      </c>
      <c r="Q495" s="262">
        <v>91</v>
      </c>
      <c r="R495" s="262">
        <v>91</v>
      </c>
      <c r="S495" s="262">
        <v>91</v>
      </c>
      <c r="T495" s="262">
        <v>91</v>
      </c>
      <c r="U495" s="262">
        <v>91</v>
      </c>
      <c r="V495" s="262">
        <v>91</v>
      </c>
      <c r="W495" s="262">
        <v>91</v>
      </c>
      <c r="X495" s="262">
        <v>91</v>
      </c>
      <c r="Y495" s="262">
        <f t="shared" si="8"/>
        <v>1092</v>
      </c>
    </row>
    <row r="496" spans="1:25" s="261" customFormat="1" ht="11.25" customHeight="1">
      <c r="A496" s="261">
        <v>2014</v>
      </c>
      <c r="B496" s="261" t="s">
        <v>573</v>
      </c>
      <c r="C496" s="261" t="s">
        <v>32</v>
      </c>
      <c r="D496" s="9" t="s">
        <v>32</v>
      </c>
      <c r="E496" s="261" t="s">
        <v>12</v>
      </c>
      <c r="F496" s="261" t="s">
        <v>33</v>
      </c>
      <c r="G496" s="9" t="s">
        <v>442</v>
      </c>
      <c r="H496" s="9" t="s">
        <v>12</v>
      </c>
      <c r="I496" s="9" t="s">
        <v>12</v>
      </c>
      <c r="J496" s="9" t="s">
        <v>13</v>
      </c>
      <c r="K496" s="261" t="s">
        <v>52</v>
      </c>
      <c r="M496" s="262">
        <v>61</v>
      </c>
      <c r="N496" s="262">
        <v>61</v>
      </c>
      <c r="O496" s="262">
        <v>61</v>
      </c>
      <c r="P496" s="262">
        <v>61</v>
      </c>
      <c r="Q496" s="262">
        <v>61</v>
      </c>
      <c r="R496" s="262">
        <v>61</v>
      </c>
      <c r="S496" s="262">
        <v>61</v>
      </c>
      <c r="T496" s="262">
        <v>61</v>
      </c>
      <c r="U496" s="262">
        <v>61</v>
      </c>
      <c r="V496" s="262">
        <v>61</v>
      </c>
      <c r="W496" s="262">
        <v>61</v>
      </c>
      <c r="X496" s="262">
        <v>61</v>
      </c>
      <c r="Y496" s="262">
        <f t="shared" si="8"/>
        <v>732</v>
      </c>
    </row>
    <row r="497" spans="1:25" s="261" customFormat="1" ht="11.25" customHeight="1">
      <c r="A497" s="261">
        <v>2014</v>
      </c>
      <c r="B497" s="261" t="s">
        <v>573</v>
      </c>
      <c r="C497" s="261" t="s">
        <v>32</v>
      </c>
      <c r="D497" s="9" t="s">
        <v>32</v>
      </c>
      <c r="E497" s="261" t="s">
        <v>12</v>
      </c>
      <c r="F497" s="261" t="s">
        <v>33</v>
      </c>
      <c r="G497" s="9" t="s">
        <v>442</v>
      </c>
      <c r="H497" s="9" t="s">
        <v>12</v>
      </c>
      <c r="I497" s="9" t="s">
        <v>12</v>
      </c>
      <c r="J497" s="9" t="s">
        <v>13</v>
      </c>
      <c r="K497" s="261" t="s">
        <v>48</v>
      </c>
      <c r="M497" s="262">
        <v>41</v>
      </c>
      <c r="N497" s="262">
        <v>61</v>
      </c>
      <c r="O497" s="262">
        <v>61</v>
      </c>
      <c r="P497" s="262">
        <v>61</v>
      </c>
      <c r="Q497" s="262">
        <v>61</v>
      </c>
      <c r="R497" s="262">
        <v>61</v>
      </c>
      <c r="S497" s="262">
        <v>61</v>
      </c>
      <c r="T497" s="262">
        <v>61</v>
      </c>
      <c r="U497" s="262">
        <v>61</v>
      </c>
      <c r="V497" s="262">
        <v>61</v>
      </c>
      <c r="W497" s="262">
        <v>61</v>
      </c>
      <c r="X497" s="262">
        <v>61</v>
      </c>
      <c r="Y497" s="262">
        <f t="shared" si="8"/>
        <v>712</v>
      </c>
    </row>
    <row r="498" spans="1:25" s="261" customFormat="1" ht="11.25" customHeight="1">
      <c r="A498" s="261">
        <v>2014</v>
      </c>
      <c r="B498" s="261" t="s">
        <v>573</v>
      </c>
      <c r="C498" s="261" t="s">
        <v>32</v>
      </c>
      <c r="D498" s="9" t="s">
        <v>32</v>
      </c>
      <c r="E498" s="261" t="s">
        <v>12</v>
      </c>
      <c r="F498" s="261" t="s">
        <v>33</v>
      </c>
      <c r="G498" s="9" t="s">
        <v>442</v>
      </c>
      <c r="H498" s="9" t="s">
        <v>12</v>
      </c>
      <c r="I498" s="9" t="s">
        <v>12</v>
      </c>
      <c r="J498" s="9" t="s">
        <v>13</v>
      </c>
      <c r="K498" s="261" t="s">
        <v>47</v>
      </c>
      <c r="M498" s="262">
        <v>91</v>
      </c>
      <c r="N498" s="262">
        <v>91</v>
      </c>
      <c r="O498" s="262">
        <v>91</v>
      </c>
      <c r="P498" s="262">
        <v>91</v>
      </c>
      <c r="Q498" s="262">
        <v>91</v>
      </c>
      <c r="R498" s="262">
        <v>91</v>
      </c>
      <c r="S498" s="262">
        <v>91</v>
      </c>
      <c r="T498" s="262">
        <v>91</v>
      </c>
      <c r="U498" s="262">
        <v>91</v>
      </c>
      <c r="V498" s="262">
        <v>91</v>
      </c>
      <c r="W498" s="262">
        <v>91</v>
      </c>
      <c r="X498" s="262">
        <v>91</v>
      </c>
      <c r="Y498" s="262">
        <f t="shared" si="8"/>
        <v>1092</v>
      </c>
    </row>
    <row r="499" spans="1:25" s="261" customFormat="1" ht="11.25" customHeight="1">
      <c r="A499" s="261">
        <v>2014</v>
      </c>
      <c r="B499" s="261" t="s">
        <v>573</v>
      </c>
      <c r="C499" s="261" t="s">
        <v>32</v>
      </c>
      <c r="D499" s="9" t="s">
        <v>32</v>
      </c>
      <c r="E499" s="261" t="s">
        <v>148</v>
      </c>
      <c r="F499" s="261" t="s">
        <v>151</v>
      </c>
      <c r="G499" s="9" t="s">
        <v>442</v>
      </c>
      <c r="H499" s="9" t="s">
        <v>148</v>
      </c>
      <c r="I499" s="9" t="s">
        <v>148</v>
      </c>
      <c r="J499" s="9" t="s">
        <v>148</v>
      </c>
      <c r="M499" s="262">
        <v>94800</v>
      </c>
      <c r="N499" s="262">
        <v>94800</v>
      </c>
      <c r="O499" s="262">
        <v>94800</v>
      </c>
      <c r="P499" s="262">
        <v>94800</v>
      </c>
      <c r="Q499" s="262">
        <v>94800</v>
      </c>
      <c r="R499" s="262">
        <v>94800</v>
      </c>
      <c r="S499" s="262">
        <v>94800</v>
      </c>
      <c r="T499" s="262">
        <v>94800</v>
      </c>
      <c r="U499" s="262">
        <v>94800</v>
      </c>
      <c r="V499" s="262">
        <v>94800</v>
      </c>
      <c r="W499" s="262">
        <v>94800</v>
      </c>
      <c r="X499" s="262">
        <v>94800</v>
      </c>
      <c r="Y499" s="262">
        <f t="shared" si="8"/>
        <v>1137600</v>
      </c>
    </row>
    <row r="500" spans="1:25" s="261" customFormat="1" ht="11.25" customHeight="1">
      <c r="A500" s="261">
        <v>2014</v>
      </c>
      <c r="B500" s="261" t="s">
        <v>573</v>
      </c>
      <c r="C500" s="261" t="s">
        <v>32</v>
      </c>
      <c r="D500" s="9" t="s">
        <v>32</v>
      </c>
      <c r="E500" s="261" t="s">
        <v>37</v>
      </c>
      <c r="F500" s="261" t="s">
        <v>151</v>
      </c>
      <c r="G500" s="9" t="s">
        <v>442</v>
      </c>
      <c r="H500" s="9" t="s">
        <v>37</v>
      </c>
      <c r="I500" s="9" t="s">
        <v>37</v>
      </c>
      <c r="J500" s="9" t="s">
        <v>37</v>
      </c>
      <c r="K500" s="261" t="s">
        <v>346</v>
      </c>
      <c r="M500" s="262">
        <v>1000</v>
      </c>
      <c r="N500" s="262">
        <v>1000</v>
      </c>
      <c r="O500" s="262">
        <v>1000</v>
      </c>
      <c r="P500" s="262">
        <v>1000</v>
      </c>
      <c r="Q500" s="262">
        <v>1000</v>
      </c>
      <c r="R500" s="262">
        <v>1000</v>
      </c>
      <c r="S500" s="262">
        <v>1000</v>
      </c>
      <c r="T500" s="262">
        <v>1000</v>
      </c>
      <c r="U500" s="262">
        <v>1000</v>
      </c>
      <c r="V500" s="262">
        <v>1000</v>
      </c>
      <c r="W500" s="262">
        <v>1000</v>
      </c>
      <c r="X500" s="262">
        <v>1000</v>
      </c>
      <c r="Y500" s="262">
        <f t="shared" si="8"/>
        <v>12000</v>
      </c>
    </row>
    <row r="501" spans="1:25" s="261" customFormat="1" ht="11.25" customHeight="1">
      <c r="A501" s="261">
        <v>2014</v>
      </c>
      <c r="B501" s="261" t="s">
        <v>573</v>
      </c>
      <c r="C501" s="261" t="s">
        <v>32</v>
      </c>
      <c r="D501" s="9" t="s">
        <v>32</v>
      </c>
      <c r="E501" s="261" t="s">
        <v>37</v>
      </c>
      <c r="F501" s="261" t="s">
        <v>151</v>
      </c>
      <c r="G501" s="9" t="s">
        <v>442</v>
      </c>
      <c r="H501" s="9" t="s">
        <v>37</v>
      </c>
      <c r="I501" s="9" t="s">
        <v>37</v>
      </c>
      <c r="J501" s="9" t="s">
        <v>37</v>
      </c>
      <c r="K501" s="261" t="s">
        <v>386</v>
      </c>
      <c r="M501" s="262">
        <v>1000</v>
      </c>
      <c r="N501" s="262">
        <v>1000</v>
      </c>
      <c r="O501" s="262">
        <v>1000</v>
      </c>
      <c r="P501" s="262">
        <v>1000</v>
      </c>
      <c r="Q501" s="262">
        <v>1000</v>
      </c>
      <c r="R501" s="262">
        <v>1000</v>
      </c>
      <c r="S501" s="262">
        <v>1000</v>
      </c>
      <c r="T501" s="262">
        <v>1000</v>
      </c>
      <c r="U501" s="262">
        <v>1000</v>
      </c>
      <c r="V501" s="262">
        <v>1000</v>
      </c>
      <c r="W501" s="262">
        <v>1000</v>
      </c>
      <c r="X501" s="262">
        <v>1000</v>
      </c>
      <c r="Y501" s="262">
        <f t="shared" si="8"/>
        <v>12000</v>
      </c>
    </row>
    <row r="502" spans="1:25" s="261" customFormat="1" ht="11.25" customHeight="1">
      <c r="A502" s="261">
        <v>2014</v>
      </c>
      <c r="B502" s="261" t="s">
        <v>573</v>
      </c>
      <c r="C502" s="261" t="s">
        <v>32</v>
      </c>
      <c r="D502" s="9" t="s">
        <v>32</v>
      </c>
      <c r="E502" s="261" t="s">
        <v>37</v>
      </c>
      <c r="F502" s="261" t="s">
        <v>151</v>
      </c>
      <c r="G502" s="9" t="s">
        <v>442</v>
      </c>
      <c r="H502" s="9" t="s">
        <v>37</v>
      </c>
      <c r="I502" s="9" t="s">
        <v>37</v>
      </c>
      <c r="J502" s="9" t="s">
        <v>37</v>
      </c>
      <c r="K502" s="261" t="s">
        <v>389</v>
      </c>
      <c r="M502" s="262">
        <v>1000</v>
      </c>
      <c r="N502" s="262">
        <v>1000</v>
      </c>
      <c r="O502" s="262">
        <v>1000</v>
      </c>
      <c r="P502" s="262">
        <v>1000</v>
      </c>
      <c r="Q502" s="262">
        <v>1000</v>
      </c>
      <c r="R502" s="262">
        <v>1000</v>
      </c>
      <c r="S502" s="262">
        <v>1000</v>
      </c>
      <c r="T502" s="262">
        <v>1000</v>
      </c>
      <c r="U502" s="262">
        <v>1000</v>
      </c>
      <c r="V502" s="262">
        <v>1000</v>
      </c>
      <c r="W502" s="262">
        <v>1000</v>
      </c>
      <c r="X502" s="262">
        <v>1000</v>
      </c>
      <c r="Y502" s="262">
        <f t="shared" si="8"/>
        <v>12000</v>
      </c>
    </row>
    <row r="503" spans="1:25" s="261" customFormat="1" ht="11.25" customHeight="1">
      <c r="A503" s="261">
        <v>2014</v>
      </c>
      <c r="B503" s="261" t="s">
        <v>573</v>
      </c>
      <c r="C503" s="261" t="s">
        <v>32</v>
      </c>
      <c r="D503" s="9" t="s">
        <v>32</v>
      </c>
      <c r="E503" s="261" t="s">
        <v>37</v>
      </c>
      <c r="F503" s="261" t="s">
        <v>151</v>
      </c>
      <c r="G503" s="9" t="s">
        <v>442</v>
      </c>
      <c r="H503" s="9" t="s">
        <v>37</v>
      </c>
      <c r="I503" s="9" t="s">
        <v>37</v>
      </c>
      <c r="J503" s="9" t="s">
        <v>37</v>
      </c>
      <c r="K503" s="261" t="s">
        <v>391</v>
      </c>
      <c r="M503" s="262">
        <v>1000</v>
      </c>
      <c r="N503" s="262">
        <v>1000</v>
      </c>
      <c r="O503" s="262">
        <v>1000</v>
      </c>
      <c r="P503" s="262">
        <v>1000</v>
      </c>
      <c r="Q503" s="262">
        <v>1000</v>
      </c>
      <c r="R503" s="262">
        <v>1000</v>
      </c>
      <c r="S503" s="262">
        <v>1000</v>
      </c>
      <c r="T503" s="262">
        <v>1000</v>
      </c>
      <c r="U503" s="262">
        <v>1000</v>
      </c>
      <c r="V503" s="262">
        <v>1000</v>
      </c>
      <c r="W503" s="262">
        <v>1000</v>
      </c>
      <c r="X503" s="262">
        <v>1000</v>
      </c>
      <c r="Y503" s="262">
        <f t="shared" si="8"/>
        <v>12000</v>
      </c>
    </row>
    <row r="504" spans="1:25" s="261" customFormat="1" ht="11.25" customHeight="1">
      <c r="A504" s="261">
        <v>2014</v>
      </c>
      <c r="B504" s="261" t="s">
        <v>573</v>
      </c>
      <c r="C504" s="261" t="s">
        <v>32</v>
      </c>
      <c r="D504" s="9" t="s">
        <v>32</v>
      </c>
      <c r="E504" s="261" t="s">
        <v>37</v>
      </c>
      <c r="F504" s="261" t="s">
        <v>151</v>
      </c>
      <c r="G504" s="9" t="s">
        <v>442</v>
      </c>
      <c r="H504" s="9" t="s">
        <v>37</v>
      </c>
      <c r="I504" s="9" t="s">
        <v>37</v>
      </c>
      <c r="J504" s="9" t="s">
        <v>37</v>
      </c>
      <c r="K504" s="261" t="s">
        <v>344</v>
      </c>
      <c r="M504" s="262">
        <v>5000</v>
      </c>
      <c r="N504" s="262">
        <v>5000</v>
      </c>
      <c r="O504" s="262">
        <v>5000</v>
      </c>
      <c r="P504" s="262">
        <v>5000</v>
      </c>
      <c r="Q504" s="262">
        <v>5000</v>
      </c>
      <c r="R504" s="262">
        <v>5000</v>
      </c>
      <c r="S504" s="262">
        <v>5000</v>
      </c>
      <c r="T504" s="262">
        <v>5000</v>
      </c>
      <c r="U504" s="262">
        <v>5000</v>
      </c>
      <c r="V504" s="262">
        <v>5000</v>
      </c>
      <c r="W504" s="262">
        <v>5000</v>
      </c>
      <c r="X504" s="262">
        <v>5000</v>
      </c>
      <c r="Y504" s="262">
        <f t="shared" si="8"/>
        <v>60000</v>
      </c>
    </row>
    <row r="505" spans="1:25" s="261" customFormat="1" ht="11.25" customHeight="1">
      <c r="A505" s="261">
        <v>2014</v>
      </c>
      <c r="B505" s="261" t="s">
        <v>573</v>
      </c>
      <c r="C505" s="261" t="s">
        <v>32</v>
      </c>
      <c r="D505" s="9" t="s">
        <v>32</v>
      </c>
      <c r="E505" s="261" t="s">
        <v>27</v>
      </c>
      <c r="F505" s="261" t="s">
        <v>151</v>
      </c>
      <c r="G505" s="9" t="s">
        <v>442</v>
      </c>
      <c r="H505" s="9" t="s">
        <v>27</v>
      </c>
      <c r="I505" s="9" t="s">
        <v>27</v>
      </c>
      <c r="J505" s="9" t="s">
        <v>28</v>
      </c>
      <c r="M505" s="262">
        <v>200</v>
      </c>
      <c r="N505" s="262">
        <v>200</v>
      </c>
      <c r="O505" s="262">
        <v>200</v>
      </c>
      <c r="P505" s="262">
        <v>200</v>
      </c>
      <c r="Q505" s="262">
        <v>200</v>
      </c>
      <c r="R505" s="262">
        <v>200</v>
      </c>
      <c r="S505" s="262">
        <v>200</v>
      </c>
      <c r="T505" s="262">
        <v>200</v>
      </c>
      <c r="U505" s="262">
        <v>200</v>
      </c>
      <c r="V505" s="262">
        <v>200</v>
      </c>
      <c r="W505" s="262">
        <v>200</v>
      </c>
      <c r="X505" s="262">
        <v>200</v>
      </c>
      <c r="Y505" s="262">
        <f t="shared" si="8"/>
        <v>2400</v>
      </c>
    </row>
    <row r="506" spans="1:25" s="261" customFormat="1" ht="11.25" customHeight="1">
      <c r="A506" s="261">
        <v>2014</v>
      </c>
      <c r="B506" s="261" t="s">
        <v>573</v>
      </c>
      <c r="C506" s="261" t="s">
        <v>32</v>
      </c>
      <c r="D506" s="9" t="s">
        <v>32</v>
      </c>
      <c r="E506" s="261" t="s">
        <v>149</v>
      </c>
      <c r="F506" s="261" t="s">
        <v>151</v>
      </c>
      <c r="G506" s="9" t="s">
        <v>442</v>
      </c>
      <c r="H506" s="9" t="s">
        <v>149</v>
      </c>
      <c r="I506" s="9" t="s">
        <v>149</v>
      </c>
      <c r="J506" s="9" t="s">
        <v>150</v>
      </c>
      <c r="M506" s="262">
        <v>3011.58</v>
      </c>
      <c r="N506" s="262">
        <v>3011.58</v>
      </c>
      <c r="O506" s="262">
        <v>3011.58</v>
      </c>
      <c r="P506" s="262">
        <v>3011.58</v>
      </c>
      <c r="Q506" s="262">
        <v>3011.58</v>
      </c>
      <c r="R506" s="262">
        <v>3011.58</v>
      </c>
      <c r="S506" s="262">
        <v>3011.58</v>
      </c>
      <c r="T506" s="262">
        <v>3011.58</v>
      </c>
      <c r="U506" s="262">
        <v>3011.58</v>
      </c>
      <c r="V506" s="262">
        <v>3011.58</v>
      </c>
      <c r="W506" s="262">
        <v>3011.58</v>
      </c>
      <c r="X506" s="262">
        <v>3011.58</v>
      </c>
      <c r="Y506" s="262">
        <f t="shared" si="8"/>
        <v>36138.960000000006</v>
      </c>
    </row>
    <row r="507" spans="1:25" s="261" customFormat="1" ht="11.25" customHeight="1">
      <c r="A507" s="261">
        <v>2014</v>
      </c>
      <c r="B507" s="261" t="s">
        <v>573</v>
      </c>
      <c r="C507" s="261" t="s">
        <v>32</v>
      </c>
      <c r="D507" s="9" t="s">
        <v>32</v>
      </c>
      <c r="E507" s="261" t="s">
        <v>18</v>
      </c>
      <c r="F507" s="261" t="s">
        <v>151</v>
      </c>
      <c r="G507" s="9" t="s">
        <v>442</v>
      </c>
      <c r="H507" s="9" t="s">
        <v>18</v>
      </c>
      <c r="I507" s="9" t="s">
        <v>18</v>
      </c>
      <c r="J507" s="9" t="s">
        <v>34</v>
      </c>
      <c r="K507" s="261" t="s">
        <v>346</v>
      </c>
      <c r="M507" s="262">
        <v>200</v>
      </c>
      <c r="N507" s="262">
        <v>200</v>
      </c>
      <c r="O507" s="262">
        <v>200</v>
      </c>
      <c r="P507" s="262">
        <v>200</v>
      </c>
      <c r="Q507" s="262">
        <v>200</v>
      </c>
      <c r="R507" s="262">
        <v>200</v>
      </c>
      <c r="S507" s="262">
        <v>200</v>
      </c>
      <c r="T507" s="262">
        <v>200</v>
      </c>
      <c r="U507" s="262">
        <v>200</v>
      </c>
      <c r="V507" s="262">
        <v>200</v>
      </c>
      <c r="W507" s="262">
        <v>200</v>
      </c>
      <c r="X507" s="262">
        <v>200</v>
      </c>
      <c r="Y507" s="262">
        <f t="shared" si="8"/>
        <v>2400</v>
      </c>
    </row>
    <row r="508" spans="1:25" s="261" customFormat="1" ht="11.25" customHeight="1">
      <c r="A508" s="261">
        <v>2014</v>
      </c>
      <c r="B508" s="261" t="s">
        <v>573</v>
      </c>
      <c r="C508" s="261" t="s">
        <v>32</v>
      </c>
      <c r="D508" s="9" t="s">
        <v>32</v>
      </c>
      <c r="E508" s="261" t="s">
        <v>18</v>
      </c>
      <c r="F508" s="261" t="s">
        <v>151</v>
      </c>
      <c r="G508" s="9" t="s">
        <v>442</v>
      </c>
      <c r="H508" s="9" t="s">
        <v>18</v>
      </c>
      <c r="I508" s="9" t="s">
        <v>18</v>
      </c>
      <c r="J508" s="9" t="s">
        <v>34</v>
      </c>
      <c r="K508" s="261" t="s">
        <v>386</v>
      </c>
      <c r="M508" s="262">
        <v>200</v>
      </c>
      <c r="N508" s="262">
        <v>200</v>
      </c>
      <c r="O508" s="262">
        <v>200</v>
      </c>
      <c r="P508" s="262">
        <v>200</v>
      </c>
      <c r="Q508" s="262">
        <v>200</v>
      </c>
      <c r="R508" s="262">
        <v>200</v>
      </c>
      <c r="S508" s="262">
        <v>200</v>
      </c>
      <c r="T508" s="262">
        <v>200</v>
      </c>
      <c r="U508" s="262">
        <v>200</v>
      </c>
      <c r="V508" s="262">
        <v>200</v>
      </c>
      <c r="W508" s="262">
        <v>200</v>
      </c>
      <c r="X508" s="262">
        <v>200</v>
      </c>
      <c r="Y508" s="262">
        <f t="shared" si="8"/>
        <v>2400</v>
      </c>
    </row>
    <row r="509" spans="1:25" s="261" customFormat="1" ht="11.25" customHeight="1">
      <c r="A509" s="261">
        <v>2014</v>
      </c>
      <c r="B509" s="261" t="s">
        <v>573</v>
      </c>
      <c r="C509" s="261" t="s">
        <v>32</v>
      </c>
      <c r="D509" s="9" t="s">
        <v>32</v>
      </c>
      <c r="E509" s="261" t="s">
        <v>18</v>
      </c>
      <c r="F509" s="261" t="s">
        <v>151</v>
      </c>
      <c r="G509" s="9" t="s">
        <v>442</v>
      </c>
      <c r="H509" s="9" t="s">
        <v>18</v>
      </c>
      <c r="I509" s="9" t="s">
        <v>18</v>
      </c>
      <c r="J509" s="9" t="s">
        <v>34</v>
      </c>
      <c r="K509" s="261" t="s">
        <v>389</v>
      </c>
      <c r="M509" s="262">
        <v>200</v>
      </c>
      <c r="N509" s="262">
        <v>200</v>
      </c>
      <c r="O509" s="262">
        <v>200</v>
      </c>
      <c r="P509" s="262">
        <v>200</v>
      </c>
      <c r="Q509" s="262">
        <v>200</v>
      </c>
      <c r="R509" s="262">
        <v>200</v>
      </c>
      <c r="S509" s="262">
        <v>200</v>
      </c>
      <c r="T509" s="262">
        <v>200</v>
      </c>
      <c r="U509" s="262">
        <v>200</v>
      </c>
      <c r="V509" s="262">
        <v>200</v>
      </c>
      <c r="W509" s="262">
        <v>200</v>
      </c>
      <c r="X509" s="262">
        <v>200</v>
      </c>
      <c r="Y509" s="262">
        <f t="shared" si="8"/>
        <v>2400</v>
      </c>
    </row>
    <row r="510" spans="1:25" s="261" customFormat="1" ht="11.25" customHeight="1">
      <c r="A510" s="261">
        <v>2014</v>
      </c>
      <c r="B510" s="261" t="s">
        <v>573</v>
      </c>
      <c r="C510" s="261" t="s">
        <v>32</v>
      </c>
      <c r="D510" s="9" t="s">
        <v>32</v>
      </c>
      <c r="E510" s="261" t="s">
        <v>18</v>
      </c>
      <c r="F510" s="261" t="s">
        <v>151</v>
      </c>
      <c r="G510" s="9" t="s">
        <v>442</v>
      </c>
      <c r="H510" s="9" t="s">
        <v>18</v>
      </c>
      <c r="I510" s="9" t="s">
        <v>18</v>
      </c>
      <c r="J510" s="9" t="s">
        <v>34</v>
      </c>
      <c r="K510" s="261" t="s">
        <v>391</v>
      </c>
      <c r="M510" s="262">
        <v>200</v>
      </c>
      <c r="N510" s="262">
        <v>200</v>
      </c>
      <c r="O510" s="262">
        <v>200</v>
      </c>
      <c r="P510" s="262">
        <v>200</v>
      </c>
      <c r="Q510" s="262">
        <v>200</v>
      </c>
      <c r="R510" s="262">
        <v>200</v>
      </c>
      <c r="S510" s="262">
        <v>200</v>
      </c>
      <c r="T510" s="262">
        <v>200</v>
      </c>
      <c r="U510" s="262">
        <v>200</v>
      </c>
      <c r="V510" s="262">
        <v>200</v>
      </c>
      <c r="W510" s="262">
        <v>200</v>
      </c>
      <c r="X510" s="262">
        <v>200</v>
      </c>
      <c r="Y510" s="262">
        <f t="shared" si="8"/>
        <v>2400</v>
      </c>
    </row>
    <row r="511" spans="1:25" s="261" customFormat="1" ht="11.25" customHeight="1">
      <c r="A511" s="261">
        <v>2014</v>
      </c>
      <c r="B511" s="261" t="s">
        <v>573</v>
      </c>
      <c r="C511" s="261" t="s">
        <v>32</v>
      </c>
      <c r="D511" s="9" t="s">
        <v>32</v>
      </c>
      <c r="E511" s="261" t="s">
        <v>18</v>
      </c>
      <c r="F511" s="261" t="s">
        <v>151</v>
      </c>
      <c r="G511" s="9" t="s">
        <v>442</v>
      </c>
      <c r="H511" s="9" t="s">
        <v>18</v>
      </c>
      <c r="I511" s="9" t="s">
        <v>18</v>
      </c>
      <c r="J511" s="9" t="s">
        <v>43</v>
      </c>
      <c r="K511" s="261" t="s">
        <v>346</v>
      </c>
      <c r="M511" s="262">
        <v>1500</v>
      </c>
      <c r="N511" s="262">
        <v>1500</v>
      </c>
      <c r="O511" s="262">
        <v>1500</v>
      </c>
      <c r="P511" s="262">
        <v>1500</v>
      </c>
      <c r="Q511" s="262">
        <v>1500</v>
      </c>
      <c r="R511" s="262">
        <v>1500</v>
      </c>
      <c r="S511" s="262">
        <v>1500</v>
      </c>
      <c r="T511" s="262">
        <v>1500</v>
      </c>
      <c r="U511" s="262">
        <v>1500</v>
      </c>
      <c r="V511" s="262">
        <v>1500</v>
      </c>
      <c r="W511" s="262">
        <v>1500</v>
      </c>
      <c r="X511" s="262">
        <v>1500</v>
      </c>
      <c r="Y511" s="262">
        <f t="shared" si="8"/>
        <v>18000</v>
      </c>
    </row>
    <row r="512" spans="1:25" s="261" customFormat="1" ht="11.25" customHeight="1">
      <c r="A512" s="261">
        <v>2014</v>
      </c>
      <c r="B512" s="261" t="s">
        <v>573</v>
      </c>
      <c r="C512" s="261" t="s">
        <v>32</v>
      </c>
      <c r="D512" s="9" t="s">
        <v>32</v>
      </c>
      <c r="E512" s="261" t="s">
        <v>18</v>
      </c>
      <c r="F512" s="261" t="s">
        <v>151</v>
      </c>
      <c r="G512" s="9" t="s">
        <v>442</v>
      </c>
      <c r="H512" s="9" t="s">
        <v>18</v>
      </c>
      <c r="I512" s="9" t="s">
        <v>18</v>
      </c>
      <c r="J512" s="9" t="s">
        <v>43</v>
      </c>
      <c r="K512" s="261" t="s">
        <v>386</v>
      </c>
      <c r="M512" s="262">
        <v>1500</v>
      </c>
      <c r="N512" s="262">
        <v>1500</v>
      </c>
      <c r="O512" s="262">
        <v>1500</v>
      </c>
      <c r="P512" s="262">
        <v>1500</v>
      </c>
      <c r="Q512" s="262">
        <v>1500</v>
      </c>
      <c r="R512" s="262">
        <v>1500</v>
      </c>
      <c r="S512" s="262">
        <v>1500</v>
      </c>
      <c r="T512" s="262">
        <v>1500</v>
      </c>
      <c r="U512" s="262">
        <v>1500</v>
      </c>
      <c r="V512" s="262">
        <v>1500</v>
      </c>
      <c r="W512" s="262">
        <v>1500</v>
      </c>
      <c r="X512" s="262">
        <v>1500</v>
      </c>
      <c r="Y512" s="262">
        <f t="shared" si="8"/>
        <v>18000</v>
      </c>
    </row>
    <row r="513" spans="1:25" s="261" customFormat="1" ht="11.25" customHeight="1">
      <c r="A513" s="261">
        <v>2014</v>
      </c>
      <c r="B513" s="261" t="s">
        <v>573</v>
      </c>
      <c r="C513" s="261" t="s">
        <v>32</v>
      </c>
      <c r="D513" s="9" t="s">
        <v>32</v>
      </c>
      <c r="E513" s="261" t="s">
        <v>18</v>
      </c>
      <c r="F513" s="261" t="s">
        <v>151</v>
      </c>
      <c r="G513" s="9" t="s">
        <v>442</v>
      </c>
      <c r="H513" s="9" t="s">
        <v>18</v>
      </c>
      <c r="I513" s="9" t="s">
        <v>18</v>
      </c>
      <c r="J513" s="9" t="s">
        <v>43</v>
      </c>
      <c r="K513" s="261" t="s">
        <v>389</v>
      </c>
      <c r="M513" s="262">
        <v>1500</v>
      </c>
      <c r="N513" s="262">
        <v>1500</v>
      </c>
      <c r="O513" s="262">
        <v>1500</v>
      </c>
      <c r="P513" s="262">
        <v>1500</v>
      </c>
      <c r="Q513" s="262">
        <v>1500</v>
      </c>
      <c r="R513" s="262">
        <v>1500</v>
      </c>
      <c r="S513" s="262">
        <v>1500</v>
      </c>
      <c r="T513" s="262">
        <v>1500</v>
      </c>
      <c r="U513" s="262">
        <v>1500</v>
      </c>
      <c r="V513" s="262">
        <v>1500</v>
      </c>
      <c r="W513" s="262">
        <v>1500</v>
      </c>
      <c r="X513" s="262">
        <v>1500</v>
      </c>
      <c r="Y513" s="262">
        <f t="shared" si="8"/>
        <v>18000</v>
      </c>
    </row>
    <row r="514" spans="1:25" s="261" customFormat="1" ht="11.25" customHeight="1">
      <c r="A514" s="261">
        <v>2014</v>
      </c>
      <c r="B514" s="261" t="s">
        <v>573</v>
      </c>
      <c r="C514" s="261" t="s">
        <v>32</v>
      </c>
      <c r="D514" s="9" t="s">
        <v>32</v>
      </c>
      <c r="E514" s="261" t="s">
        <v>18</v>
      </c>
      <c r="F514" s="261" t="s">
        <v>151</v>
      </c>
      <c r="G514" s="9" t="s">
        <v>442</v>
      </c>
      <c r="H514" s="9" t="s">
        <v>18</v>
      </c>
      <c r="I514" s="9" t="s">
        <v>18</v>
      </c>
      <c r="J514" s="9" t="s">
        <v>43</v>
      </c>
      <c r="K514" s="261" t="s">
        <v>391</v>
      </c>
      <c r="M514" s="262">
        <v>2500</v>
      </c>
      <c r="N514" s="262">
        <v>2500</v>
      </c>
      <c r="O514" s="262">
        <v>2500</v>
      </c>
      <c r="P514" s="262">
        <v>2500</v>
      </c>
      <c r="Q514" s="262">
        <v>2500</v>
      </c>
      <c r="R514" s="262">
        <v>2500</v>
      </c>
      <c r="S514" s="262">
        <v>2500</v>
      </c>
      <c r="T514" s="262">
        <v>2500</v>
      </c>
      <c r="U514" s="262">
        <v>2500</v>
      </c>
      <c r="V514" s="262">
        <v>2500</v>
      </c>
      <c r="W514" s="262">
        <v>2500</v>
      </c>
      <c r="X514" s="262">
        <v>2500</v>
      </c>
      <c r="Y514" s="262">
        <f t="shared" ref="Y514:Y577" si="9">SUM(M514:X514)</f>
        <v>30000</v>
      </c>
    </row>
    <row r="515" spans="1:25" s="261" customFormat="1" ht="11.25" customHeight="1">
      <c r="A515" s="261">
        <v>2014</v>
      </c>
      <c r="B515" s="261" t="s">
        <v>573</v>
      </c>
      <c r="C515" s="261" t="s">
        <v>32</v>
      </c>
      <c r="D515" s="9" t="s">
        <v>32</v>
      </c>
      <c r="E515" s="261" t="s">
        <v>18</v>
      </c>
      <c r="F515" s="261" t="s">
        <v>151</v>
      </c>
      <c r="G515" s="9" t="s">
        <v>442</v>
      </c>
      <c r="H515" s="9" t="s">
        <v>18</v>
      </c>
      <c r="I515" s="9" t="s">
        <v>18</v>
      </c>
      <c r="J515" s="9" t="s">
        <v>43</v>
      </c>
      <c r="K515" s="261" t="s">
        <v>344</v>
      </c>
      <c r="M515" s="262">
        <v>2000</v>
      </c>
      <c r="N515" s="262">
        <v>2000</v>
      </c>
      <c r="O515" s="262">
        <v>2000</v>
      </c>
      <c r="P515" s="262">
        <v>2000</v>
      </c>
      <c r="Q515" s="262">
        <v>2000</v>
      </c>
      <c r="R515" s="262">
        <v>2000</v>
      </c>
      <c r="S515" s="262">
        <v>2000</v>
      </c>
      <c r="T515" s="262">
        <v>2000</v>
      </c>
      <c r="U515" s="262">
        <v>2000</v>
      </c>
      <c r="V515" s="262">
        <v>2000</v>
      </c>
      <c r="W515" s="262">
        <v>2000</v>
      </c>
      <c r="X515" s="262">
        <v>2000</v>
      </c>
      <c r="Y515" s="262">
        <f t="shared" si="9"/>
        <v>24000</v>
      </c>
    </row>
    <row r="516" spans="1:25" s="261" customFormat="1" ht="11.25" customHeight="1">
      <c r="A516" s="261">
        <v>2014</v>
      </c>
      <c r="B516" s="261" t="s">
        <v>573</v>
      </c>
      <c r="C516" s="261" t="s">
        <v>32</v>
      </c>
      <c r="D516" s="9" t="s">
        <v>32</v>
      </c>
      <c r="E516" s="261" t="s">
        <v>18</v>
      </c>
      <c r="F516" s="261" t="s">
        <v>151</v>
      </c>
      <c r="G516" s="9" t="s">
        <v>442</v>
      </c>
      <c r="H516" s="9" t="s">
        <v>18</v>
      </c>
      <c r="I516" s="9" t="s">
        <v>18</v>
      </c>
      <c r="J516" s="9" t="s">
        <v>44</v>
      </c>
      <c r="M516" s="262">
        <v>500</v>
      </c>
      <c r="N516" s="262">
        <v>500</v>
      </c>
      <c r="O516" s="262">
        <v>500</v>
      </c>
      <c r="P516" s="262">
        <v>500</v>
      </c>
      <c r="Q516" s="262">
        <v>500</v>
      </c>
      <c r="R516" s="262">
        <v>500</v>
      </c>
      <c r="S516" s="262">
        <v>500</v>
      </c>
      <c r="T516" s="262">
        <v>500</v>
      </c>
      <c r="U516" s="262">
        <v>500</v>
      </c>
      <c r="V516" s="262">
        <v>500</v>
      </c>
      <c r="W516" s="262">
        <v>500</v>
      </c>
      <c r="X516" s="262">
        <v>500</v>
      </c>
      <c r="Y516" s="262">
        <f t="shared" si="9"/>
        <v>6000</v>
      </c>
    </row>
    <row r="517" spans="1:25" s="261" customFormat="1" ht="11.25" customHeight="1">
      <c r="A517" s="261">
        <v>2014</v>
      </c>
      <c r="B517" s="261" t="s">
        <v>574</v>
      </c>
      <c r="C517" s="261" t="s">
        <v>32</v>
      </c>
      <c r="D517" s="9" t="s">
        <v>32</v>
      </c>
      <c r="E517" s="261" t="s">
        <v>45</v>
      </c>
      <c r="F517" s="261" t="s">
        <v>151</v>
      </c>
      <c r="G517" s="9" t="s">
        <v>442</v>
      </c>
      <c r="H517" s="9" t="s">
        <v>45</v>
      </c>
      <c r="I517" s="9" t="s">
        <v>45</v>
      </c>
      <c r="J517" s="9" t="s">
        <v>46</v>
      </c>
      <c r="M517" s="262">
        <v>3000</v>
      </c>
      <c r="N517" s="262">
        <v>3000</v>
      </c>
      <c r="O517" s="262">
        <v>3000</v>
      </c>
      <c r="P517" s="262">
        <v>3000</v>
      </c>
      <c r="Q517" s="262">
        <v>3000</v>
      </c>
      <c r="R517" s="262">
        <v>3000</v>
      </c>
      <c r="S517" s="262">
        <v>3000</v>
      </c>
      <c r="T517" s="262">
        <v>3000</v>
      </c>
      <c r="U517" s="262">
        <v>3000</v>
      </c>
      <c r="V517" s="262">
        <v>3000</v>
      </c>
      <c r="W517" s="262">
        <v>3000</v>
      </c>
      <c r="X517" s="262">
        <v>3000</v>
      </c>
      <c r="Y517" s="262">
        <f t="shared" si="9"/>
        <v>36000</v>
      </c>
    </row>
    <row r="518" spans="1:25" s="261" customFormat="1" ht="11.25" customHeight="1">
      <c r="A518" s="261">
        <v>2014</v>
      </c>
      <c r="B518" s="261" t="s">
        <v>573</v>
      </c>
      <c r="C518" s="261" t="s">
        <v>32</v>
      </c>
      <c r="D518" s="9" t="s">
        <v>9</v>
      </c>
      <c r="E518" s="261" t="s">
        <v>387</v>
      </c>
      <c r="F518" s="261" t="s">
        <v>151</v>
      </c>
      <c r="G518" s="9" t="s">
        <v>442</v>
      </c>
      <c r="H518" s="9" t="s">
        <v>9</v>
      </c>
      <c r="I518" s="9" t="s">
        <v>387</v>
      </c>
      <c r="J518" s="9" t="s">
        <v>387</v>
      </c>
      <c r="M518" s="262"/>
      <c r="N518" s="262">
        <v>30000</v>
      </c>
      <c r="O518" s="262">
        <v>300000</v>
      </c>
      <c r="P518" s="262">
        <v>900000</v>
      </c>
      <c r="Q518" s="262">
        <v>200000</v>
      </c>
      <c r="R518" s="262">
        <v>70000</v>
      </c>
      <c r="S518" s="262">
        <v>70000</v>
      </c>
      <c r="T518" s="262">
        <v>70000</v>
      </c>
      <c r="U518" s="262">
        <v>40000</v>
      </c>
      <c r="V518" s="262">
        <v>25000</v>
      </c>
      <c r="W518" s="262">
        <v>50000</v>
      </c>
      <c r="X518" s="262">
        <v>50000</v>
      </c>
      <c r="Y518" s="262">
        <f t="shared" si="9"/>
        <v>1805000</v>
      </c>
    </row>
    <row r="519" spans="1:25" s="261" customFormat="1" ht="11.25" customHeight="1">
      <c r="A519" s="261">
        <v>2014</v>
      </c>
      <c r="B519" s="261" t="s">
        <v>573</v>
      </c>
      <c r="C519" s="261" t="s">
        <v>32</v>
      </c>
      <c r="D519" s="9" t="s">
        <v>9</v>
      </c>
      <c r="E519" s="261" t="s">
        <v>388</v>
      </c>
      <c r="F519" s="261" t="s">
        <v>151</v>
      </c>
      <c r="G519" s="9" t="s">
        <v>442</v>
      </c>
      <c r="H519" s="9" t="s">
        <v>9</v>
      </c>
      <c r="I519" s="9" t="s">
        <v>388</v>
      </c>
      <c r="J519" s="9" t="s">
        <v>388</v>
      </c>
      <c r="M519" s="262"/>
      <c r="N519" s="262">
        <v>50000</v>
      </c>
      <c r="O519" s="262">
        <v>100000</v>
      </c>
      <c r="P519" s="262">
        <v>50000</v>
      </c>
      <c r="Q519" s="262">
        <v>100000</v>
      </c>
      <c r="R519" s="262">
        <v>50000</v>
      </c>
      <c r="S519" s="262">
        <v>50000</v>
      </c>
      <c r="T519" s="262">
        <v>50000</v>
      </c>
      <c r="U519" s="262">
        <v>50000</v>
      </c>
      <c r="V519" s="262">
        <v>50000</v>
      </c>
      <c r="W519" s="262">
        <v>50000</v>
      </c>
      <c r="X519" s="262">
        <v>100000</v>
      </c>
      <c r="Y519" s="262">
        <f t="shared" si="9"/>
        <v>700000</v>
      </c>
    </row>
    <row r="520" spans="1:25" s="261" customFormat="1" ht="11.25" customHeight="1">
      <c r="A520" s="261">
        <v>2014</v>
      </c>
      <c r="B520" s="261" t="s">
        <v>573</v>
      </c>
      <c r="C520" s="261" t="s">
        <v>32</v>
      </c>
      <c r="D520" s="9" t="s">
        <v>9</v>
      </c>
      <c r="E520" s="261" t="s">
        <v>67</v>
      </c>
      <c r="F520" s="261" t="s">
        <v>151</v>
      </c>
      <c r="G520" s="9" t="s">
        <v>442</v>
      </c>
      <c r="H520" s="9" t="s">
        <v>9</v>
      </c>
      <c r="I520" s="9" t="s">
        <v>67</v>
      </c>
      <c r="J520" s="9" t="s">
        <v>67</v>
      </c>
      <c r="L520" s="261" t="s">
        <v>354</v>
      </c>
      <c r="M520" s="262">
        <v>22600</v>
      </c>
      <c r="N520" s="262">
        <v>22500</v>
      </c>
      <c r="O520" s="262">
        <v>26300</v>
      </c>
      <c r="P520" s="262">
        <v>30000</v>
      </c>
      <c r="Q520" s="262">
        <v>30100</v>
      </c>
      <c r="R520" s="262">
        <v>22600</v>
      </c>
      <c r="S520" s="262">
        <v>26400</v>
      </c>
      <c r="T520" s="262">
        <v>18800</v>
      </c>
      <c r="U520" s="262">
        <v>26300</v>
      </c>
      <c r="V520" s="262">
        <v>26300</v>
      </c>
      <c r="W520" s="262">
        <v>18800</v>
      </c>
      <c r="X520" s="262">
        <v>30100</v>
      </c>
      <c r="Y520" s="262">
        <f t="shared" si="9"/>
        <v>300800</v>
      </c>
    </row>
    <row r="521" spans="1:25" s="261" customFormat="1" ht="11.25" customHeight="1">
      <c r="A521" s="261">
        <v>2014</v>
      </c>
      <c r="B521" s="261" t="s">
        <v>573</v>
      </c>
      <c r="C521" s="261" t="s">
        <v>32</v>
      </c>
      <c r="D521" s="9" t="s">
        <v>9</v>
      </c>
      <c r="E521" s="261" t="s">
        <v>67</v>
      </c>
      <c r="F521" s="261" t="s">
        <v>151</v>
      </c>
      <c r="G521" s="9" t="s">
        <v>442</v>
      </c>
      <c r="H521" s="9" t="s">
        <v>9</v>
      </c>
      <c r="I521" s="9" t="s">
        <v>67</v>
      </c>
      <c r="J521" s="9" t="s">
        <v>67</v>
      </c>
      <c r="L521" s="261" t="s">
        <v>185</v>
      </c>
      <c r="M521" s="262">
        <v>12000</v>
      </c>
      <c r="N521" s="262">
        <v>12000</v>
      </c>
      <c r="O521" s="262">
        <v>12000</v>
      </c>
      <c r="P521" s="262">
        <v>12000</v>
      </c>
      <c r="Q521" s="262">
        <v>12000</v>
      </c>
      <c r="R521" s="262">
        <v>12000</v>
      </c>
      <c r="S521" s="262">
        <v>12000</v>
      </c>
      <c r="T521" s="262">
        <v>12000</v>
      </c>
      <c r="U521" s="262">
        <v>12000</v>
      </c>
      <c r="V521" s="262">
        <v>12000</v>
      </c>
      <c r="W521" s="262">
        <v>12000</v>
      </c>
      <c r="X521" s="262">
        <v>12000</v>
      </c>
      <c r="Y521" s="262">
        <f t="shared" si="9"/>
        <v>144000</v>
      </c>
    </row>
    <row r="522" spans="1:25" s="261" customFormat="1" ht="11.25" customHeight="1">
      <c r="A522" s="261">
        <v>2014</v>
      </c>
      <c r="B522" s="261" t="s">
        <v>573</v>
      </c>
      <c r="C522" s="261" t="s">
        <v>32</v>
      </c>
      <c r="D522" s="9" t="s">
        <v>9</v>
      </c>
      <c r="E522" s="261" t="s">
        <v>67</v>
      </c>
      <c r="F522" s="261" t="s">
        <v>151</v>
      </c>
      <c r="G522" s="9" t="s">
        <v>442</v>
      </c>
      <c r="H522" s="9" t="s">
        <v>9</v>
      </c>
      <c r="I522" s="9" t="s">
        <v>67</v>
      </c>
      <c r="J522" s="9" t="s">
        <v>67</v>
      </c>
      <c r="L522" s="261" t="s">
        <v>379</v>
      </c>
      <c r="M522" s="262">
        <v>3200</v>
      </c>
      <c r="N522" s="262">
        <v>2850</v>
      </c>
      <c r="O522" s="262">
        <v>2100</v>
      </c>
      <c r="P522" s="262">
        <v>2100</v>
      </c>
      <c r="Q522" s="262">
        <v>2100</v>
      </c>
      <c r="R522" s="262">
        <v>2100</v>
      </c>
      <c r="S522" s="262">
        <v>2100</v>
      </c>
      <c r="T522" s="262">
        <v>2100</v>
      </c>
      <c r="U522" s="262">
        <v>2100</v>
      </c>
      <c r="V522" s="262">
        <v>2100</v>
      </c>
      <c r="W522" s="262">
        <v>2100</v>
      </c>
      <c r="X522" s="262">
        <v>2100</v>
      </c>
      <c r="Y522" s="262">
        <f t="shared" si="9"/>
        <v>27050</v>
      </c>
    </row>
    <row r="523" spans="1:25" s="261" customFormat="1" ht="11.25" customHeight="1">
      <c r="A523" s="261">
        <v>2014</v>
      </c>
      <c r="B523" s="261" t="s">
        <v>573</v>
      </c>
      <c r="C523" s="261" t="s">
        <v>32</v>
      </c>
      <c r="D523" s="9" t="s">
        <v>9</v>
      </c>
      <c r="E523" s="261" t="s">
        <v>67</v>
      </c>
      <c r="F523" s="261" t="s">
        <v>151</v>
      </c>
      <c r="G523" s="9" t="s">
        <v>442</v>
      </c>
      <c r="H523" s="9" t="s">
        <v>9</v>
      </c>
      <c r="I523" s="9" t="s">
        <v>67</v>
      </c>
      <c r="J523" s="9" t="s">
        <v>67</v>
      </c>
      <c r="L523" s="261" t="s">
        <v>348</v>
      </c>
      <c r="M523" s="262">
        <v>3000</v>
      </c>
      <c r="N523" s="262">
        <v>3000</v>
      </c>
      <c r="O523" s="262">
        <v>3000</v>
      </c>
      <c r="P523" s="262"/>
      <c r="Q523" s="262"/>
      <c r="R523" s="262"/>
      <c r="S523" s="262"/>
      <c r="T523" s="262"/>
      <c r="U523" s="262"/>
      <c r="V523" s="262"/>
      <c r="W523" s="262"/>
      <c r="X523" s="262"/>
      <c r="Y523" s="262">
        <f t="shared" si="9"/>
        <v>9000</v>
      </c>
    </row>
    <row r="524" spans="1:25" s="261" customFormat="1" ht="11.25" customHeight="1">
      <c r="A524" s="261">
        <v>2014</v>
      </c>
      <c r="B524" s="261" t="s">
        <v>573</v>
      </c>
      <c r="C524" s="261" t="s">
        <v>32</v>
      </c>
      <c r="D524" s="9" t="s">
        <v>9</v>
      </c>
      <c r="E524" s="261" t="s">
        <v>67</v>
      </c>
      <c r="F524" s="261" t="s">
        <v>151</v>
      </c>
      <c r="G524" s="9" t="s">
        <v>442</v>
      </c>
      <c r="H524" s="9" t="s">
        <v>9</v>
      </c>
      <c r="I524" s="9" t="s">
        <v>67</v>
      </c>
      <c r="J524" s="9" t="s">
        <v>67</v>
      </c>
      <c r="L524" s="261" t="s">
        <v>368</v>
      </c>
      <c r="M524" s="262"/>
      <c r="N524" s="262"/>
      <c r="O524" s="262"/>
      <c r="P524" s="262"/>
      <c r="Q524" s="262">
        <v>15000</v>
      </c>
      <c r="R524" s="262">
        <v>15000</v>
      </c>
      <c r="S524" s="262">
        <v>15000</v>
      </c>
      <c r="T524" s="262">
        <v>15000</v>
      </c>
      <c r="U524" s="262"/>
      <c r="V524" s="262"/>
      <c r="W524" s="262"/>
      <c r="X524" s="262"/>
      <c r="Y524" s="262">
        <f t="shared" si="9"/>
        <v>60000</v>
      </c>
    </row>
    <row r="525" spans="1:25" s="261" customFormat="1" ht="11.25" customHeight="1">
      <c r="A525" s="261">
        <v>2014</v>
      </c>
      <c r="B525" s="261" t="s">
        <v>573</v>
      </c>
      <c r="C525" s="261" t="s">
        <v>32</v>
      </c>
      <c r="D525" s="9" t="s">
        <v>9</v>
      </c>
      <c r="E525" s="261" t="s">
        <v>67</v>
      </c>
      <c r="F525" s="261" t="s">
        <v>151</v>
      </c>
      <c r="G525" s="9" t="s">
        <v>442</v>
      </c>
      <c r="H525" s="9" t="s">
        <v>9</v>
      </c>
      <c r="I525" s="9" t="s">
        <v>67</v>
      </c>
      <c r="J525" s="9" t="s">
        <v>67</v>
      </c>
      <c r="L525" s="261" t="s">
        <v>390</v>
      </c>
      <c r="M525" s="262">
        <v>800</v>
      </c>
      <c r="N525" s="262">
        <v>800</v>
      </c>
      <c r="O525" s="262">
        <v>800</v>
      </c>
      <c r="P525" s="262">
        <v>800</v>
      </c>
      <c r="Q525" s="262">
        <v>800</v>
      </c>
      <c r="R525" s="262">
        <v>800</v>
      </c>
      <c r="S525" s="262">
        <v>800</v>
      </c>
      <c r="T525" s="262">
        <v>800</v>
      </c>
      <c r="U525" s="262">
        <v>800</v>
      </c>
      <c r="V525" s="262">
        <v>800</v>
      </c>
      <c r="W525" s="262">
        <v>800</v>
      </c>
      <c r="X525" s="262">
        <v>800</v>
      </c>
      <c r="Y525" s="262">
        <f t="shared" si="9"/>
        <v>9600</v>
      </c>
    </row>
    <row r="526" spans="1:25" s="261" customFormat="1" ht="11.25" customHeight="1">
      <c r="A526" s="261">
        <v>2014</v>
      </c>
      <c r="B526" s="261" t="s">
        <v>573</v>
      </c>
      <c r="C526" s="261" t="s">
        <v>32</v>
      </c>
      <c r="D526" s="9" t="s">
        <v>9</v>
      </c>
      <c r="E526" s="261" t="s">
        <v>67</v>
      </c>
      <c r="F526" s="261" t="s">
        <v>151</v>
      </c>
      <c r="G526" s="9" t="s">
        <v>442</v>
      </c>
      <c r="H526" s="9" t="s">
        <v>9</v>
      </c>
      <c r="I526" s="9" t="s">
        <v>67</v>
      </c>
      <c r="J526" s="9" t="s">
        <v>67</v>
      </c>
      <c r="L526" s="261" t="s">
        <v>357</v>
      </c>
      <c r="M526" s="262">
        <v>21000</v>
      </c>
      <c r="N526" s="262">
        <v>21000</v>
      </c>
      <c r="O526" s="262">
        <v>16000</v>
      </c>
      <c r="P526" s="262">
        <v>16000</v>
      </c>
      <c r="Q526" s="262">
        <v>16000</v>
      </c>
      <c r="R526" s="262">
        <v>16000</v>
      </c>
      <c r="S526" s="262">
        <v>16000</v>
      </c>
      <c r="T526" s="262">
        <v>16000</v>
      </c>
      <c r="U526" s="262">
        <v>16000</v>
      </c>
      <c r="V526" s="262">
        <v>16000</v>
      </c>
      <c r="W526" s="262">
        <v>16000</v>
      </c>
      <c r="X526" s="262">
        <v>16000</v>
      </c>
      <c r="Y526" s="262">
        <f t="shared" si="9"/>
        <v>202000</v>
      </c>
    </row>
    <row r="527" spans="1:25" s="261" customFormat="1" ht="11.25" customHeight="1">
      <c r="A527" s="261">
        <v>2014</v>
      </c>
      <c r="B527" s="261" t="s">
        <v>573</v>
      </c>
      <c r="C527" s="261" t="s">
        <v>32</v>
      </c>
      <c r="D527" s="9" t="s">
        <v>9</v>
      </c>
      <c r="E527" s="261" t="s">
        <v>67</v>
      </c>
      <c r="F527" s="261" t="s">
        <v>151</v>
      </c>
      <c r="G527" s="9" t="s">
        <v>442</v>
      </c>
      <c r="H527" s="9" t="s">
        <v>9</v>
      </c>
      <c r="I527" s="9" t="s">
        <v>67</v>
      </c>
      <c r="J527" s="9" t="s">
        <v>67</v>
      </c>
      <c r="L527" s="261" t="s">
        <v>345</v>
      </c>
      <c r="M527" s="262">
        <v>800</v>
      </c>
      <c r="N527" s="262">
        <v>800</v>
      </c>
      <c r="O527" s="262">
        <v>800</v>
      </c>
      <c r="P527" s="262">
        <v>800</v>
      </c>
      <c r="Q527" s="262">
        <v>800</v>
      </c>
      <c r="R527" s="262">
        <v>800</v>
      </c>
      <c r="S527" s="262">
        <v>800</v>
      </c>
      <c r="T527" s="262">
        <v>800</v>
      </c>
      <c r="U527" s="262">
        <v>800</v>
      </c>
      <c r="V527" s="262">
        <v>800</v>
      </c>
      <c r="W527" s="262">
        <v>800</v>
      </c>
      <c r="X527" s="262">
        <v>800</v>
      </c>
      <c r="Y527" s="262">
        <f t="shared" si="9"/>
        <v>9600</v>
      </c>
    </row>
    <row r="528" spans="1:25" s="261" customFormat="1" ht="11.25" customHeight="1">
      <c r="A528" s="261">
        <v>2014</v>
      </c>
      <c r="B528" s="261" t="s">
        <v>573</v>
      </c>
      <c r="C528" s="261" t="s">
        <v>32</v>
      </c>
      <c r="D528" s="9" t="s">
        <v>9</v>
      </c>
      <c r="E528" s="261" t="s">
        <v>67</v>
      </c>
      <c r="F528" s="261" t="s">
        <v>151</v>
      </c>
      <c r="G528" s="9" t="s">
        <v>442</v>
      </c>
      <c r="H528" s="9" t="s">
        <v>9</v>
      </c>
      <c r="I528" s="9" t="s">
        <v>67</v>
      </c>
      <c r="J528" s="9" t="s">
        <v>67</v>
      </c>
      <c r="L528" s="261" t="s">
        <v>369</v>
      </c>
      <c r="M528" s="262">
        <v>77000</v>
      </c>
      <c r="N528" s="262">
        <v>77000</v>
      </c>
      <c r="O528" s="262">
        <v>77000</v>
      </c>
      <c r="P528" s="262">
        <v>77000</v>
      </c>
      <c r="Q528" s="262">
        <v>77000</v>
      </c>
      <c r="R528" s="262">
        <v>77000</v>
      </c>
      <c r="S528" s="262">
        <v>77000</v>
      </c>
      <c r="T528" s="262">
        <v>77000</v>
      </c>
      <c r="U528" s="262">
        <v>77000</v>
      </c>
      <c r="V528" s="262">
        <v>77000</v>
      </c>
      <c r="W528" s="262">
        <v>77000</v>
      </c>
      <c r="X528" s="262">
        <v>77000</v>
      </c>
      <c r="Y528" s="262">
        <f t="shared" si="9"/>
        <v>924000</v>
      </c>
    </row>
    <row r="529" spans="1:25" s="261" customFormat="1" ht="11.25" customHeight="1">
      <c r="A529" s="261">
        <v>2014</v>
      </c>
      <c r="B529" s="261" t="s">
        <v>573</v>
      </c>
      <c r="C529" s="261" t="s">
        <v>32</v>
      </c>
      <c r="D529" s="9" t="s">
        <v>9</v>
      </c>
      <c r="E529" s="261" t="s">
        <v>67</v>
      </c>
      <c r="F529" s="261" t="s">
        <v>151</v>
      </c>
      <c r="G529" s="9" t="s">
        <v>442</v>
      </c>
      <c r="H529" s="9" t="s">
        <v>9</v>
      </c>
      <c r="I529" s="9" t="s">
        <v>67</v>
      </c>
      <c r="J529" s="9" t="s">
        <v>67</v>
      </c>
      <c r="L529" s="261" t="s">
        <v>353</v>
      </c>
      <c r="M529" s="262">
        <v>1500</v>
      </c>
      <c r="N529" s="262">
        <v>1500</v>
      </c>
      <c r="O529" s="262">
        <v>1500</v>
      </c>
      <c r="P529" s="262">
        <v>1000</v>
      </c>
      <c r="Q529" s="262">
        <v>1000</v>
      </c>
      <c r="R529" s="262">
        <v>1000</v>
      </c>
      <c r="S529" s="262">
        <v>1000</v>
      </c>
      <c r="T529" s="262">
        <v>1000</v>
      </c>
      <c r="U529" s="262">
        <v>1000</v>
      </c>
      <c r="V529" s="262">
        <v>1000</v>
      </c>
      <c r="W529" s="262">
        <v>1000</v>
      </c>
      <c r="X529" s="262">
        <v>1000</v>
      </c>
      <c r="Y529" s="262">
        <f t="shared" si="9"/>
        <v>13500</v>
      </c>
    </row>
    <row r="530" spans="1:25" s="261" customFormat="1" ht="11.25" customHeight="1">
      <c r="A530" s="261">
        <v>2014</v>
      </c>
      <c r="B530" s="261" t="s">
        <v>573</v>
      </c>
      <c r="C530" s="261" t="s">
        <v>32</v>
      </c>
      <c r="D530" s="9" t="s">
        <v>9</v>
      </c>
      <c r="E530" s="261" t="s">
        <v>67</v>
      </c>
      <c r="F530" s="261" t="s">
        <v>151</v>
      </c>
      <c r="G530" s="9" t="s">
        <v>442</v>
      </c>
      <c r="H530" s="9" t="s">
        <v>9</v>
      </c>
      <c r="I530" s="9" t="s">
        <v>67</v>
      </c>
      <c r="J530" s="9" t="s">
        <v>67</v>
      </c>
      <c r="L530" s="261" t="s">
        <v>378</v>
      </c>
      <c r="M530" s="262">
        <v>10720</v>
      </c>
      <c r="N530" s="262">
        <v>10720</v>
      </c>
      <c r="O530" s="262">
        <v>10720</v>
      </c>
      <c r="P530" s="262">
        <v>10720</v>
      </c>
      <c r="Q530" s="262">
        <v>10720</v>
      </c>
      <c r="R530" s="262">
        <v>10720</v>
      </c>
      <c r="S530" s="262">
        <v>10720</v>
      </c>
      <c r="T530" s="262">
        <v>10720</v>
      </c>
      <c r="U530" s="262">
        <v>10720</v>
      </c>
      <c r="V530" s="262">
        <v>10720</v>
      </c>
      <c r="W530" s="262">
        <v>10720</v>
      </c>
      <c r="X530" s="262">
        <v>10720</v>
      </c>
      <c r="Y530" s="262">
        <f t="shared" si="9"/>
        <v>128640</v>
      </c>
    </row>
    <row r="531" spans="1:25" s="261" customFormat="1" ht="11.25" customHeight="1">
      <c r="A531" s="261">
        <v>2014</v>
      </c>
      <c r="B531" s="261" t="s">
        <v>573</v>
      </c>
      <c r="C531" s="261" t="s">
        <v>32</v>
      </c>
      <c r="D531" s="9" t="s">
        <v>9</v>
      </c>
      <c r="E531" s="261" t="s">
        <v>67</v>
      </c>
      <c r="F531" s="261" t="s">
        <v>151</v>
      </c>
      <c r="G531" s="9" t="s">
        <v>442</v>
      </c>
      <c r="H531" s="9" t="s">
        <v>9</v>
      </c>
      <c r="I531" s="9" t="s">
        <v>67</v>
      </c>
      <c r="J531" s="9" t="s">
        <v>67</v>
      </c>
      <c r="L531" s="261" t="s">
        <v>154</v>
      </c>
      <c r="M531" s="262">
        <v>800</v>
      </c>
      <c r="N531" s="262">
        <v>800</v>
      </c>
      <c r="O531" s="262">
        <v>800</v>
      </c>
      <c r="P531" s="262">
        <v>800</v>
      </c>
      <c r="Q531" s="262">
        <v>800</v>
      </c>
      <c r="R531" s="262">
        <v>800</v>
      </c>
      <c r="S531" s="262">
        <v>800</v>
      </c>
      <c r="T531" s="262">
        <v>800</v>
      </c>
      <c r="U531" s="262">
        <v>800</v>
      </c>
      <c r="V531" s="262">
        <v>800</v>
      </c>
      <c r="W531" s="262">
        <v>800</v>
      </c>
      <c r="X531" s="262">
        <v>800</v>
      </c>
      <c r="Y531" s="262">
        <f t="shared" si="9"/>
        <v>9600</v>
      </c>
    </row>
    <row r="532" spans="1:25" s="261" customFormat="1" ht="11.25" customHeight="1">
      <c r="A532" s="261">
        <v>2014</v>
      </c>
      <c r="B532" s="261" t="s">
        <v>573</v>
      </c>
      <c r="C532" s="261" t="s">
        <v>32</v>
      </c>
      <c r="D532" s="9" t="s">
        <v>9</v>
      </c>
      <c r="E532" s="261" t="s">
        <v>67</v>
      </c>
      <c r="F532" s="261" t="s">
        <v>151</v>
      </c>
      <c r="G532" s="9" t="s">
        <v>442</v>
      </c>
      <c r="H532" s="9" t="s">
        <v>9</v>
      </c>
      <c r="I532" s="9" t="s">
        <v>67</v>
      </c>
      <c r="J532" s="9" t="s">
        <v>67</v>
      </c>
      <c r="L532" s="261" t="s">
        <v>349</v>
      </c>
      <c r="M532" s="262">
        <v>4000</v>
      </c>
      <c r="N532" s="262">
        <v>4000</v>
      </c>
      <c r="O532" s="262">
        <v>4000</v>
      </c>
      <c r="P532" s="262">
        <v>4000</v>
      </c>
      <c r="Q532" s="262">
        <v>4000</v>
      </c>
      <c r="R532" s="262">
        <v>4000</v>
      </c>
      <c r="S532" s="262">
        <v>4000</v>
      </c>
      <c r="T532" s="262">
        <v>4000</v>
      </c>
      <c r="U532" s="262">
        <v>4000</v>
      </c>
      <c r="V532" s="262">
        <v>4000</v>
      </c>
      <c r="W532" s="262">
        <v>4000</v>
      </c>
      <c r="X532" s="262">
        <v>4000</v>
      </c>
      <c r="Y532" s="262">
        <f t="shared" si="9"/>
        <v>48000</v>
      </c>
    </row>
    <row r="533" spans="1:25" s="261" customFormat="1" ht="11.25" customHeight="1">
      <c r="A533" s="261">
        <v>2014</v>
      </c>
      <c r="B533" s="261" t="s">
        <v>573</v>
      </c>
      <c r="C533" s="261" t="s">
        <v>32</v>
      </c>
      <c r="D533" s="9" t="s">
        <v>9</v>
      </c>
      <c r="E533" s="261" t="s">
        <v>67</v>
      </c>
      <c r="F533" s="261" t="s">
        <v>151</v>
      </c>
      <c r="G533" s="9" t="s">
        <v>442</v>
      </c>
      <c r="H533" s="9" t="s">
        <v>9</v>
      </c>
      <c r="I533" s="9" t="s">
        <v>67</v>
      </c>
      <c r="J533" s="9" t="s">
        <v>67</v>
      </c>
      <c r="L533" s="261" t="s">
        <v>396</v>
      </c>
      <c r="M533" s="262">
        <v>800</v>
      </c>
      <c r="N533" s="262">
        <v>800</v>
      </c>
      <c r="O533" s="262">
        <v>800</v>
      </c>
      <c r="P533" s="262">
        <v>800</v>
      </c>
      <c r="Q533" s="262">
        <v>800</v>
      </c>
      <c r="R533" s="262">
        <v>800</v>
      </c>
      <c r="S533" s="262">
        <v>800</v>
      </c>
      <c r="T533" s="262">
        <v>800</v>
      </c>
      <c r="U533" s="262">
        <v>800</v>
      </c>
      <c r="V533" s="262">
        <v>800</v>
      </c>
      <c r="W533" s="262">
        <v>800</v>
      </c>
      <c r="X533" s="262">
        <v>800</v>
      </c>
      <c r="Y533" s="262">
        <f t="shared" si="9"/>
        <v>9600</v>
      </c>
    </row>
    <row r="534" spans="1:25" s="261" customFormat="1" ht="11.25" customHeight="1">
      <c r="A534" s="261">
        <v>2014</v>
      </c>
      <c r="B534" s="261" t="s">
        <v>573</v>
      </c>
      <c r="C534" s="261" t="s">
        <v>32</v>
      </c>
      <c r="D534" s="9" t="s">
        <v>9</v>
      </c>
      <c r="E534" s="261" t="s">
        <v>67</v>
      </c>
      <c r="F534" s="261" t="s">
        <v>151</v>
      </c>
      <c r="G534" s="9" t="s">
        <v>442</v>
      </c>
      <c r="H534" s="9" t="s">
        <v>9</v>
      </c>
      <c r="I534" s="9" t="s">
        <v>67</v>
      </c>
      <c r="J534" s="9" t="s">
        <v>67</v>
      </c>
      <c r="L534" s="261" t="s">
        <v>381</v>
      </c>
      <c r="M534" s="262">
        <v>1000</v>
      </c>
      <c r="N534" s="262">
        <v>1000</v>
      </c>
      <c r="O534" s="262">
        <v>1000</v>
      </c>
      <c r="P534" s="262">
        <v>1000</v>
      </c>
      <c r="Q534" s="262">
        <v>1000</v>
      </c>
      <c r="R534" s="262">
        <v>1000</v>
      </c>
      <c r="S534" s="262">
        <v>1000</v>
      </c>
      <c r="T534" s="262">
        <v>1000</v>
      </c>
      <c r="U534" s="262">
        <v>1000</v>
      </c>
      <c r="V534" s="262">
        <v>1000</v>
      </c>
      <c r="W534" s="262">
        <v>1000</v>
      </c>
      <c r="X534" s="262">
        <v>1000</v>
      </c>
      <c r="Y534" s="262">
        <f t="shared" si="9"/>
        <v>12000</v>
      </c>
    </row>
    <row r="535" spans="1:25" s="261" customFormat="1" ht="11.25" customHeight="1">
      <c r="A535" s="261">
        <v>2014</v>
      </c>
      <c r="B535" s="261" t="s">
        <v>573</v>
      </c>
      <c r="C535" s="261" t="s">
        <v>32</v>
      </c>
      <c r="D535" s="9" t="s">
        <v>9</v>
      </c>
      <c r="E535" s="261" t="s">
        <v>67</v>
      </c>
      <c r="F535" s="261" t="s">
        <v>151</v>
      </c>
      <c r="G535" s="9" t="s">
        <v>442</v>
      </c>
      <c r="H535" s="9" t="s">
        <v>9</v>
      </c>
      <c r="I535" s="9" t="s">
        <v>67</v>
      </c>
      <c r="J535" s="9" t="s">
        <v>67</v>
      </c>
      <c r="L535" s="261" t="s">
        <v>393</v>
      </c>
      <c r="M535" s="262"/>
      <c r="N535" s="262"/>
      <c r="O535" s="262"/>
      <c r="P535" s="262">
        <v>10000</v>
      </c>
      <c r="Q535" s="262">
        <v>10000</v>
      </c>
      <c r="R535" s="262">
        <v>10000</v>
      </c>
      <c r="S535" s="262">
        <v>10000</v>
      </c>
      <c r="T535" s="262">
        <v>10000</v>
      </c>
      <c r="U535" s="262">
        <v>10000</v>
      </c>
      <c r="V535" s="262">
        <v>10000</v>
      </c>
      <c r="W535" s="262"/>
      <c r="X535" s="262"/>
      <c r="Y535" s="262">
        <f t="shared" si="9"/>
        <v>70000</v>
      </c>
    </row>
    <row r="536" spans="1:25" s="261" customFormat="1" ht="11.25" customHeight="1">
      <c r="A536" s="261">
        <v>2014</v>
      </c>
      <c r="B536" s="261" t="s">
        <v>573</v>
      </c>
      <c r="C536" s="261" t="s">
        <v>32</v>
      </c>
      <c r="D536" s="9" t="s">
        <v>9</v>
      </c>
      <c r="E536" s="261" t="s">
        <v>67</v>
      </c>
      <c r="F536" s="261" t="s">
        <v>151</v>
      </c>
      <c r="G536" s="9" t="s">
        <v>442</v>
      </c>
      <c r="H536" s="9" t="s">
        <v>9</v>
      </c>
      <c r="I536" s="9" t="s">
        <v>67</v>
      </c>
      <c r="J536" s="9" t="s">
        <v>67</v>
      </c>
      <c r="L536" s="261" t="s">
        <v>355</v>
      </c>
      <c r="M536" s="262">
        <v>3500</v>
      </c>
      <c r="N536" s="262">
        <v>3500</v>
      </c>
      <c r="O536" s="262">
        <v>3500</v>
      </c>
      <c r="P536" s="262">
        <v>3500</v>
      </c>
      <c r="Q536" s="262">
        <v>3500</v>
      </c>
      <c r="R536" s="262">
        <v>3500</v>
      </c>
      <c r="S536" s="262">
        <v>3500</v>
      </c>
      <c r="T536" s="262">
        <v>3500</v>
      </c>
      <c r="U536" s="262">
        <v>3500</v>
      </c>
      <c r="V536" s="262">
        <v>3500</v>
      </c>
      <c r="W536" s="262">
        <v>3500</v>
      </c>
      <c r="X536" s="262">
        <v>3500</v>
      </c>
      <c r="Y536" s="262">
        <f t="shared" si="9"/>
        <v>42000</v>
      </c>
    </row>
    <row r="537" spans="1:25" s="261" customFormat="1" ht="11.25" customHeight="1">
      <c r="A537" s="261">
        <v>2014</v>
      </c>
      <c r="B537" s="261" t="s">
        <v>573</v>
      </c>
      <c r="C537" s="261" t="s">
        <v>32</v>
      </c>
      <c r="D537" s="9" t="s">
        <v>9</v>
      </c>
      <c r="E537" s="261" t="s">
        <v>67</v>
      </c>
      <c r="F537" s="261" t="s">
        <v>151</v>
      </c>
      <c r="G537" s="9" t="s">
        <v>442</v>
      </c>
      <c r="H537" s="9" t="s">
        <v>9</v>
      </c>
      <c r="I537" s="9" t="s">
        <v>67</v>
      </c>
      <c r="J537" s="9" t="s">
        <v>67</v>
      </c>
      <c r="L537" s="261" t="s">
        <v>226</v>
      </c>
      <c r="M537" s="262">
        <v>280</v>
      </c>
      <c r="N537" s="262">
        <v>280</v>
      </c>
      <c r="O537" s="262">
        <v>280</v>
      </c>
      <c r="P537" s="262">
        <v>280</v>
      </c>
      <c r="Q537" s="262">
        <v>280</v>
      </c>
      <c r="R537" s="262">
        <v>280</v>
      </c>
      <c r="S537" s="262">
        <v>280</v>
      </c>
      <c r="T537" s="262">
        <v>280</v>
      </c>
      <c r="U537" s="262">
        <v>280</v>
      </c>
      <c r="V537" s="262">
        <v>280</v>
      </c>
      <c r="W537" s="262">
        <v>280</v>
      </c>
      <c r="X537" s="262">
        <v>280</v>
      </c>
      <c r="Y537" s="262">
        <f t="shared" si="9"/>
        <v>3360</v>
      </c>
    </row>
    <row r="538" spans="1:25" s="261" customFormat="1" ht="11.25" customHeight="1">
      <c r="A538" s="261">
        <v>2014</v>
      </c>
      <c r="B538" s="261" t="s">
        <v>573</v>
      </c>
      <c r="C538" s="261" t="s">
        <v>32</v>
      </c>
      <c r="D538" s="9" t="s">
        <v>9</v>
      </c>
      <c r="E538" s="261" t="s">
        <v>67</v>
      </c>
      <c r="F538" s="261" t="s">
        <v>151</v>
      </c>
      <c r="G538" s="9" t="s">
        <v>442</v>
      </c>
      <c r="H538" s="9" t="s">
        <v>9</v>
      </c>
      <c r="I538" s="9" t="s">
        <v>67</v>
      </c>
      <c r="J538" s="9" t="s">
        <v>67</v>
      </c>
      <c r="L538" s="261" t="s">
        <v>383</v>
      </c>
      <c r="M538" s="262">
        <v>2100</v>
      </c>
      <c r="N538" s="262">
        <v>2100</v>
      </c>
      <c r="O538" s="262">
        <v>2100</v>
      </c>
      <c r="P538" s="262">
        <v>3000</v>
      </c>
      <c r="Q538" s="262">
        <v>3000</v>
      </c>
      <c r="R538" s="262">
        <v>3000</v>
      </c>
      <c r="S538" s="262">
        <v>3000</v>
      </c>
      <c r="T538" s="262">
        <v>3000</v>
      </c>
      <c r="U538" s="262">
        <v>2100</v>
      </c>
      <c r="V538" s="262">
        <v>2100</v>
      </c>
      <c r="W538" s="262">
        <v>2100</v>
      </c>
      <c r="X538" s="262">
        <v>2100</v>
      </c>
      <c r="Y538" s="262">
        <f t="shared" si="9"/>
        <v>29700</v>
      </c>
    </row>
    <row r="539" spans="1:25" s="261" customFormat="1" ht="11.25" customHeight="1">
      <c r="A539" s="261">
        <v>2014</v>
      </c>
      <c r="B539" s="261" t="s">
        <v>573</v>
      </c>
      <c r="C539" s="261" t="s">
        <v>32</v>
      </c>
      <c r="D539" s="9" t="s">
        <v>9</v>
      </c>
      <c r="E539" s="261" t="s">
        <v>67</v>
      </c>
      <c r="F539" s="261" t="s">
        <v>151</v>
      </c>
      <c r="G539" s="9" t="s">
        <v>442</v>
      </c>
      <c r="H539" s="9" t="s">
        <v>9</v>
      </c>
      <c r="I539" s="9" t="s">
        <v>67</v>
      </c>
      <c r="J539" s="9" t="s">
        <v>67</v>
      </c>
      <c r="L539" s="261" t="s">
        <v>350</v>
      </c>
      <c r="M539" s="262">
        <v>5000</v>
      </c>
      <c r="N539" s="262">
        <v>5000</v>
      </c>
      <c r="O539" s="262">
        <v>5000</v>
      </c>
      <c r="P539" s="262">
        <v>5000</v>
      </c>
      <c r="Q539" s="262">
        <v>5000</v>
      </c>
      <c r="R539" s="262">
        <v>5000</v>
      </c>
      <c r="S539" s="262">
        <v>5000</v>
      </c>
      <c r="T539" s="262">
        <v>5000</v>
      </c>
      <c r="U539" s="262">
        <v>5000</v>
      </c>
      <c r="V539" s="262">
        <v>5000</v>
      </c>
      <c r="W539" s="262">
        <v>5000</v>
      </c>
      <c r="X539" s="262">
        <v>5000</v>
      </c>
      <c r="Y539" s="262">
        <f t="shared" si="9"/>
        <v>60000</v>
      </c>
    </row>
    <row r="540" spans="1:25" s="261" customFormat="1" ht="11.25" customHeight="1">
      <c r="A540" s="261">
        <v>2014</v>
      </c>
      <c r="B540" s="261" t="s">
        <v>573</v>
      </c>
      <c r="C540" s="261" t="s">
        <v>32</v>
      </c>
      <c r="D540" s="9" t="s">
        <v>9</v>
      </c>
      <c r="E540" s="261" t="s">
        <v>67</v>
      </c>
      <c r="F540" s="261" t="s">
        <v>151</v>
      </c>
      <c r="G540" s="9" t="s">
        <v>442</v>
      </c>
      <c r="H540" s="9" t="s">
        <v>9</v>
      </c>
      <c r="I540" s="9" t="s">
        <v>67</v>
      </c>
      <c r="J540" s="9" t="s">
        <v>67</v>
      </c>
      <c r="L540" s="261" t="s">
        <v>340</v>
      </c>
      <c r="M540" s="262">
        <v>800</v>
      </c>
      <c r="N540" s="262">
        <v>800</v>
      </c>
      <c r="O540" s="262">
        <v>800</v>
      </c>
      <c r="P540" s="262">
        <v>800</v>
      </c>
      <c r="Q540" s="262">
        <v>800</v>
      </c>
      <c r="R540" s="262">
        <v>800</v>
      </c>
      <c r="S540" s="262">
        <v>800</v>
      </c>
      <c r="T540" s="262">
        <v>800</v>
      </c>
      <c r="U540" s="262">
        <v>800</v>
      </c>
      <c r="V540" s="262">
        <v>800</v>
      </c>
      <c r="W540" s="262">
        <v>800</v>
      </c>
      <c r="X540" s="262">
        <v>800</v>
      </c>
      <c r="Y540" s="262">
        <f t="shared" si="9"/>
        <v>9600</v>
      </c>
    </row>
    <row r="541" spans="1:25" s="261" customFormat="1" ht="11.25" customHeight="1">
      <c r="A541" s="261">
        <v>2014</v>
      </c>
      <c r="B541" s="261" t="s">
        <v>573</v>
      </c>
      <c r="C541" s="261" t="s">
        <v>32</v>
      </c>
      <c r="D541" s="9" t="s">
        <v>9</v>
      </c>
      <c r="E541" s="261" t="s">
        <v>67</v>
      </c>
      <c r="F541" s="261" t="s">
        <v>151</v>
      </c>
      <c r="G541" s="9" t="s">
        <v>442</v>
      </c>
      <c r="H541" s="9" t="s">
        <v>9</v>
      </c>
      <c r="I541" s="9" t="s">
        <v>67</v>
      </c>
      <c r="J541" s="9" t="s">
        <v>67</v>
      </c>
      <c r="L541" s="261" t="s">
        <v>358</v>
      </c>
      <c r="M541" s="262"/>
      <c r="N541" s="262"/>
      <c r="O541" s="262">
        <v>1300</v>
      </c>
      <c r="P541" s="262">
        <v>1300</v>
      </c>
      <c r="Q541" s="262">
        <v>1300</v>
      </c>
      <c r="R541" s="262">
        <v>1300</v>
      </c>
      <c r="S541" s="262">
        <v>1300</v>
      </c>
      <c r="T541" s="262">
        <v>1300</v>
      </c>
      <c r="U541" s="262">
        <v>1300</v>
      </c>
      <c r="V541" s="262">
        <v>1300</v>
      </c>
      <c r="W541" s="262">
        <v>1300</v>
      </c>
      <c r="X541" s="262"/>
      <c r="Y541" s="262">
        <f t="shared" si="9"/>
        <v>11700</v>
      </c>
    </row>
    <row r="542" spans="1:25" s="261" customFormat="1" ht="11.25" customHeight="1">
      <c r="A542" s="261">
        <v>2014</v>
      </c>
      <c r="B542" s="261" t="s">
        <v>573</v>
      </c>
      <c r="C542" s="261" t="s">
        <v>32</v>
      </c>
      <c r="D542" s="9" t="s">
        <v>9</v>
      </c>
      <c r="E542" s="261" t="s">
        <v>67</v>
      </c>
      <c r="F542" s="261" t="s">
        <v>151</v>
      </c>
      <c r="G542" s="9" t="s">
        <v>442</v>
      </c>
      <c r="H542" s="9" t="s">
        <v>9</v>
      </c>
      <c r="I542" s="9" t="s">
        <v>67</v>
      </c>
      <c r="J542" s="9" t="s">
        <v>67</v>
      </c>
      <c r="L542" s="261" t="s">
        <v>343</v>
      </c>
      <c r="M542" s="262">
        <v>400</v>
      </c>
      <c r="N542" s="262">
        <v>400</v>
      </c>
      <c r="O542" s="262">
        <v>400</v>
      </c>
      <c r="P542" s="262">
        <v>400</v>
      </c>
      <c r="Q542" s="262">
        <v>400</v>
      </c>
      <c r="R542" s="262">
        <v>400</v>
      </c>
      <c r="S542" s="262">
        <v>400</v>
      </c>
      <c r="T542" s="262">
        <v>400</v>
      </c>
      <c r="U542" s="262">
        <v>400</v>
      </c>
      <c r="V542" s="262">
        <v>400</v>
      </c>
      <c r="W542" s="262">
        <v>400</v>
      </c>
      <c r="X542" s="262">
        <v>400</v>
      </c>
      <c r="Y542" s="262">
        <f t="shared" si="9"/>
        <v>4800</v>
      </c>
    </row>
    <row r="543" spans="1:25" s="261" customFormat="1" ht="11.25" customHeight="1">
      <c r="A543" s="261">
        <v>2014</v>
      </c>
      <c r="B543" s="261" t="s">
        <v>573</v>
      </c>
      <c r="C543" s="261" t="s">
        <v>32</v>
      </c>
      <c r="D543" s="9" t="s">
        <v>9</v>
      </c>
      <c r="E543" s="261" t="s">
        <v>67</v>
      </c>
      <c r="F543" s="261" t="s">
        <v>151</v>
      </c>
      <c r="G543" s="9" t="s">
        <v>442</v>
      </c>
      <c r="H543" s="9" t="s">
        <v>9</v>
      </c>
      <c r="I543" s="9" t="s">
        <v>67</v>
      </c>
      <c r="J543" s="9" t="s">
        <v>67</v>
      </c>
      <c r="L543" s="261" t="s">
        <v>392</v>
      </c>
      <c r="M543" s="262">
        <v>11600</v>
      </c>
      <c r="N543" s="262">
        <v>11600</v>
      </c>
      <c r="O543" s="262">
        <v>14500</v>
      </c>
      <c r="P543" s="262">
        <v>17500</v>
      </c>
      <c r="Q543" s="262">
        <v>17500</v>
      </c>
      <c r="R543" s="262">
        <v>17500</v>
      </c>
      <c r="S543" s="262">
        <v>17500</v>
      </c>
      <c r="T543" s="262">
        <v>17500</v>
      </c>
      <c r="U543" s="262">
        <v>14500</v>
      </c>
      <c r="V543" s="262">
        <v>14500</v>
      </c>
      <c r="W543" s="262">
        <v>14500</v>
      </c>
      <c r="X543" s="262">
        <v>14500</v>
      </c>
      <c r="Y543" s="262">
        <f t="shared" si="9"/>
        <v>183200</v>
      </c>
    </row>
    <row r="544" spans="1:25" s="261" customFormat="1" ht="11.25" customHeight="1">
      <c r="A544" s="261">
        <v>2014</v>
      </c>
      <c r="B544" s="261" t="s">
        <v>573</v>
      </c>
      <c r="C544" s="261" t="s">
        <v>32</v>
      </c>
      <c r="D544" s="9" t="s">
        <v>9</v>
      </c>
      <c r="E544" s="261" t="s">
        <v>67</v>
      </c>
      <c r="F544" s="261" t="s">
        <v>151</v>
      </c>
      <c r="G544" s="9" t="s">
        <v>442</v>
      </c>
      <c r="H544" s="9" t="s">
        <v>9</v>
      </c>
      <c r="I544" s="9" t="s">
        <v>67</v>
      </c>
      <c r="J544" s="9" t="s">
        <v>67</v>
      </c>
      <c r="L544" s="261" t="s">
        <v>375</v>
      </c>
      <c r="M544" s="262">
        <v>32000</v>
      </c>
      <c r="N544" s="262">
        <v>32000</v>
      </c>
      <c r="O544" s="262">
        <v>32000</v>
      </c>
      <c r="P544" s="262">
        <v>32000</v>
      </c>
      <c r="Q544" s="262">
        <v>32000</v>
      </c>
      <c r="R544" s="262">
        <v>32000</v>
      </c>
      <c r="S544" s="262">
        <v>32000</v>
      </c>
      <c r="T544" s="262">
        <v>32000</v>
      </c>
      <c r="U544" s="262">
        <v>32000</v>
      </c>
      <c r="V544" s="262">
        <v>32000</v>
      </c>
      <c r="W544" s="262">
        <v>32000</v>
      </c>
      <c r="X544" s="262">
        <v>32000</v>
      </c>
      <c r="Y544" s="262">
        <f t="shared" si="9"/>
        <v>384000</v>
      </c>
    </row>
    <row r="545" spans="1:25" s="261" customFormat="1" ht="11.25" customHeight="1">
      <c r="A545" s="261">
        <v>2014</v>
      </c>
      <c r="B545" s="261" t="s">
        <v>573</v>
      </c>
      <c r="C545" s="261" t="s">
        <v>32</v>
      </c>
      <c r="D545" s="9" t="s">
        <v>9</v>
      </c>
      <c r="E545" s="261" t="s">
        <v>67</v>
      </c>
      <c r="F545" s="261" t="s">
        <v>151</v>
      </c>
      <c r="G545" s="9" t="s">
        <v>442</v>
      </c>
      <c r="H545" s="9" t="s">
        <v>9</v>
      </c>
      <c r="I545" s="9" t="s">
        <v>67</v>
      </c>
      <c r="J545" s="9" t="s">
        <v>67</v>
      </c>
      <c r="L545" s="261" t="s">
        <v>365</v>
      </c>
      <c r="M545" s="262"/>
      <c r="N545" s="262"/>
      <c r="O545" s="262">
        <v>70000</v>
      </c>
      <c r="P545" s="262"/>
      <c r="Q545" s="262"/>
      <c r="R545" s="262">
        <v>70000</v>
      </c>
      <c r="S545" s="262"/>
      <c r="T545" s="262"/>
      <c r="U545" s="262">
        <v>75000</v>
      </c>
      <c r="V545" s="262"/>
      <c r="W545" s="262"/>
      <c r="X545" s="262">
        <v>80000</v>
      </c>
      <c r="Y545" s="262">
        <f t="shared" si="9"/>
        <v>295000</v>
      </c>
    </row>
    <row r="546" spans="1:25" s="261" customFormat="1" ht="11.25" customHeight="1">
      <c r="A546" s="261">
        <v>2014</v>
      </c>
      <c r="B546" s="261" t="s">
        <v>573</v>
      </c>
      <c r="C546" s="261" t="s">
        <v>32</v>
      </c>
      <c r="D546" s="9" t="s">
        <v>9</v>
      </c>
      <c r="E546" s="261" t="s">
        <v>67</v>
      </c>
      <c r="F546" s="261" t="s">
        <v>151</v>
      </c>
      <c r="G546" s="9" t="s">
        <v>442</v>
      </c>
      <c r="H546" s="9" t="s">
        <v>9</v>
      </c>
      <c r="I546" s="9" t="s">
        <v>67</v>
      </c>
      <c r="J546" s="9" t="s">
        <v>67</v>
      </c>
      <c r="L546" s="261" t="s">
        <v>385</v>
      </c>
      <c r="M546" s="262">
        <v>2500</v>
      </c>
      <c r="N546" s="262">
        <v>2500</v>
      </c>
      <c r="O546" s="262">
        <v>2500</v>
      </c>
      <c r="P546" s="262">
        <v>2500</v>
      </c>
      <c r="Q546" s="262">
        <v>2500</v>
      </c>
      <c r="R546" s="262">
        <v>2500</v>
      </c>
      <c r="S546" s="262">
        <v>2500</v>
      </c>
      <c r="T546" s="262">
        <v>2500</v>
      </c>
      <c r="U546" s="262">
        <v>2500</v>
      </c>
      <c r="V546" s="262">
        <v>2500</v>
      </c>
      <c r="W546" s="262">
        <v>2500</v>
      </c>
      <c r="X546" s="262">
        <v>2500</v>
      </c>
      <c r="Y546" s="262">
        <f t="shared" si="9"/>
        <v>30000</v>
      </c>
    </row>
    <row r="547" spans="1:25" s="261" customFormat="1" ht="11.25" customHeight="1">
      <c r="A547" s="261">
        <v>2014</v>
      </c>
      <c r="B547" s="261" t="s">
        <v>573</v>
      </c>
      <c r="C547" s="261" t="s">
        <v>32</v>
      </c>
      <c r="D547" s="9" t="s">
        <v>9</v>
      </c>
      <c r="E547" s="261" t="s">
        <v>606</v>
      </c>
      <c r="F547" s="261" t="s">
        <v>151</v>
      </c>
      <c r="G547" s="9" t="s">
        <v>442</v>
      </c>
      <c r="H547" s="9" t="s">
        <v>9</v>
      </c>
      <c r="I547" s="9" t="s">
        <v>67</v>
      </c>
      <c r="J547" s="9" t="s">
        <v>67</v>
      </c>
      <c r="L547" s="261" t="s">
        <v>607</v>
      </c>
      <c r="M547" s="262">
        <v>2000</v>
      </c>
      <c r="N547" s="262">
        <v>4000</v>
      </c>
      <c r="O547" s="262">
        <v>5000</v>
      </c>
      <c r="P547" s="262">
        <v>10000</v>
      </c>
      <c r="Q547" s="262">
        <v>10000</v>
      </c>
      <c r="R547" s="262">
        <v>10000</v>
      </c>
      <c r="S547" s="262">
        <v>10000</v>
      </c>
      <c r="T547" s="262">
        <v>5000</v>
      </c>
      <c r="U547" s="262">
        <v>20000</v>
      </c>
      <c r="V547" s="262">
        <v>5000</v>
      </c>
      <c r="W547" s="262">
        <v>3000</v>
      </c>
      <c r="X547" s="262">
        <v>5000</v>
      </c>
      <c r="Y547" s="262">
        <f t="shared" si="9"/>
        <v>89000</v>
      </c>
    </row>
    <row r="548" spans="1:25" s="261" customFormat="1" ht="11.25" customHeight="1">
      <c r="A548" s="261">
        <v>2014</v>
      </c>
      <c r="B548" s="261" t="s">
        <v>573</v>
      </c>
      <c r="C548" s="261" t="s">
        <v>32</v>
      </c>
      <c r="D548" s="9" t="s">
        <v>9</v>
      </c>
      <c r="E548" s="261" t="s">
        <v>67</v>
      </c>
      <c r="F548" s="261" t="s">
        <v>151</v>
      </c>
      <c r="G548" s="9" t="s">
        <v>442</v>
      </c>
      <c r="H548" s="9" t="s">
        <v>9</v>
      </c>
      <c r="I548" s="9" t="s">
        <v>67</v>
      </c>
      <c r="J548" s="9" t="s">
        <v>67</v>
      </c>
      <c r="M548" s="262">
        <v>2500</v>
      </c>
      <c r="N548" s="262">
        <v>2500</v>
      </c>
      <c r="O548" s="262">
        <v>2500</v>
      </c>
      <c r="P548" s="262">
        <v>2500</v>
      </c>
      <c r="Q548" s="262">
        <v>2500</v>
      </c>
      <c r="R548" s="262">
        <v>2500</v>
      </c>
      <c r="S548" s="262">
        <v>2500</v>
      </c>
      <c r="T548" s="262">
        <v>2500</v>
      </c>
      <c r="U548" s="262">
        <v>2500</v>
      </c>
      <c r="V548" s="262">
        <v>2500</v>
      </c>
      <c r="W548" s="262">
        <v>2500</v>
      </c>
      <c r="X548" s="262">
        <v>2500</v>
      </c>
      <c r="Y548" s="262">
        <f t="shared" si="9"/>
        <v>30000</v>
      </c>
    </row>
    <row r="549" spans="1:25" s="261" customFormat="1" ht="11.25" customHeight="1">
      <c r="A549" s="261">
        <v>2014</v>
      </c>
      <c r="B549" s="261" t="s">
        <v>573</v>
      </c>
      <c r="C549" s="261" t="s">
        <v>32</v>
      </c>
      <c r="D549" s="9" t="s">
        <v>9</v>
      </c>
      <c r="E549" s="261" t="s">
        <v>338</v>
      </c>
      <c r="F549" s="261" t="s">
        <v>151</v>
      </c>
      <c r="G549" s="9" t="s">
        <v>442</v>
      </c>
      <c r="H549" s="9" t="s">
        <v>9</v>
      </c>
      <c r="I549" s="9" t="s">
        <v>338</v>
      </c>
      <c r="J549" s="9" t="s">
        <v>338</v>
      </c>
      <c r="L549" s="261" t="s">
        <v>342</v>
      </c>
      <c r="M549" s="262">
        <v>1000</v>
      </c>
      <c r="N549" s="262">
        <v>1000</v>
      </c>
      <c r="O549" s="262">
        <v>1000</v>
      </c>
      <c r="P549" s="262">
        <v>1000</v>
      </c>
      <c r="Q549" s="262">
        <v>3000</v>
      </c>
      <c r="R549" s="262">
        <v>3000</v>
      </c>
      <c r="S549" s="262">
        <v>3000</v>
      </c>
      <c r="T549" s="262">
        <v>3000</v>
      </c>
      <c r="U549" s="262">
        <v>1000</v>
      </c>
      <c r="V549" s="262">
        <v>1000</v>
      </c>
      <c r="W549" s="262">
        <v>1000</v>
      </c>
      <c r="X549" s="262">
        <v>1000</v>
      </c>
      <c r="Y549" s="262">
        <f t="shared" si="9"/>
        <v>20000</v>
      </c>
    </row>
    <row r="550" spans="1:25" s="261" customFormat="1" ht="11.25" customHeight="1">
      <c r="A550" s="261">
        <v>2014</v>
      </c>
      <c r="B550" s="261" t="s">
        <v>573</v>
      </c>
      <c r="C550" s="261" t="s">
        <v>32</v>
      </c>
      <c r="D550" s="9" t="s">
        <v>9</v>
      </c>
      <c r="E550" s="261" t="s">
        <v>338</v>
      </c>
      <c r="F550" s="261" t="s">
        <v>151</v>
      </c>
      <c r="G550" s="9" t="s">
        <v>442</v>
      </c>
      <c r="H550" s="9" t="s">
        <v>9</v>
      </c>
      <c r="I550" s="9" t="s">
        <v>338</v>
      </c>
      <c r="J550" s="9" t="s">
        <v>338</v>
      </c>
      <c r="L550" s="261" t="s">
        <v>356</v>
      </c>
      <c r="M550" s="262">
        <v>3000</v>
      </c>
      <c r="N550" s="262">
        <v>3000</v>
      </c>
      <c r="O550" s="262">
        <v>3000</v>
      </c>
      <c r="P550" s="262">
        <v>3000</v>
      </c>
      <c r="Q550" s="262">
        <v>3000</v>
      </c>
      <c r="R550" s="262">
        <v>3000</v>
      </c>
      <c r="S550" s="262">
        <v>3000</v>
      </c>
      <c r="T550" s="262">
        <v>3000</v>
      </c>
      <c r="U550" s="262">
        <v>3000</v>
      </c>
      <c r="V550" s="262">
        <v>3000</v>
      </c>
      <c r="W550" s="262">
        <v>3000</v>
      </c>
      <c r="X550" s="262">
        <v>3000</v>
      </c>
      <c r="Y550" s="262">
        <f t="shared" si="9"/>
        <v>36000</v>
      </c>
    </row>
    <row r="551" spans="1:25" s="261" customFormat="1" ht="11.25" customHeight="1">
      <c r="A551" s="261">
        <v>2014</v>
      </c>
      <c r="B551" s="261" t="s">
        <v>573</v>
      </c>
      <c r="C551" s="261" t="s">
        <v>32</v>
      </c>
      <c r="D551" s="9" t="s">
        <v>9</v>
      </c>
      <c r="E551" s="261" t="s">
        <v>338</v>
      </c>
      <c r="F551" s="261" t="s">
        <v>151</v>
      </c>
      <c r="G551" s="9" t="s">
        <v>442</v>
      </c>
      <c r="H551" s="9" t="s">
        <v>9</v>
      </c>
      <c r="I551" s="9" t="s">
        <v>338</v>
      </c>
      <c r="J551" s="9" t="s">
        <v>338</v>
      </c>
      <c r="L551" s="261" t="s">
        <v>354</v>
      </c>
      <c r="M551" s="262"/>
      <c r="N551" s="262"/>
      <c r="O551" s="262"/>
      <c r="P551" s="262"/>
      <c r="Q551" s="262">
        <v>7500</v>
      </c>
      <c r="R551" s="262"/>
      <c r="S551" s="262"/>
      <c r="T551" s="262"/>
      <c r="U551" s="262"/>
      <c r="V551" s="262"/>
      <c r="W551" s="262">
        <v>7500</v>
      </c>
      <c r="X551" s="262">
        <v>7500</v>
      </c>
      <c r="Y551" s="262">
        <f t="shared" si="9"/>
        <v>22500</v>
      </c>
    </row>
    <row r="552" spans="1:25" s="261" customFormat="1" ht="11.25" customHeight="1">
      <c r="A552" s="261">
        <v>2014</v>
      </c>
      <c r="B552" s="261" t="s">
        <v>573</v>
      </c>
      <c r="C552" s="261" t="s">
        <v>32</v>
      </c>
      <c r="D552" s="9" t="s">
        <v>9</v>
      </c>
      <c r="E552" s="261" t="s">
        <v>338</v>
      </c>
      <c r="F552" s="261" t="s">
        <v>151</v>
      </c>
      <c r="G552" s="9" t="s">
        <v>442</v>
      </c>
      <c r="H552" s="9" t="s">
        <v>9</v>
      </c>
      <c r="I552" s="9" t="s">
        <v>338</v>
      </c>
      <c r="J552" s="9" t="s">
        <v>338</v>
      </c>
      <c r="L552" s="261" t="s">
        <v>185</v>
      </c>
      <c r="M552" s="262">
        <v>20208</v>
      </c>
      <c r="N552" s="262">
        <v>16063</v>
      </c>
      <c r="O552" s="262">
        <v>14665</v>
      </c>
      <c r="P552" s="262">
        <v>21643</v>
      </c>
      <c r="Q552" s="262">
        <v>34457</v>
      </c>
      <c r="R552" s="262">
        <v>26179</v>
      </c>
      <c r="S552" s="262">
        <v>33101</v>
      </c>
      <c r="T552" s="262">
        <v>27036</v>
      </c>
      <c r="U552" s="262">
        <v>15116</v>
      </c>
      <c r="V552" s="262">
        <v>13460</v>
      </c>
      <c r="W552" s="262">
        <v>29913</v>
      </c>
      <c r="X552" s="262">
        <v>21987</v>
      </c>
      <c r="Y552" s="262">
        <f t="shared" si="9"/>
        <v>273828</v>
      </c>
    </row>
    <row r="553" spans="1:25" s="261" customFormat="1" ht="11.25" customHeight="1">
      <c r="A553" s="261">
        <v>2014</v>
      </c>
      <c r="B553" s="261" t="s">
        <v>573</v>
      </c>
      <c r="C553" s="261" t="s">
        <v>32</v>
      </c>
      <c r="D553" s="9" t="s">
        <v>9</v>
      </c>
      <c r="E553" s="261" t="s">
        <v>338</v>
      </c>
      <c r="F553" s="261" t="s">
        <v>151</v>
      </c>
      <c r="G553" s="9" t="s">
        <v>442</v>
      </c>
      <c r="H553" s="9" t="s">
        <v>9</v>
      </c>
      <c r="I553" s="9" t="s">
        <v>338</v>
      </c>
      <c r="J553" s="9" t="s">
        <v>338</v>
      </c>
      <c r="L553" s="261" t="s">
        <v>394</v>
      </c>
      <c r="M553" s="262">
        <v>17938</v>
      </c>
      <c r="N553" s="262">
        <v>12826</v>
      </c>
      <c r="O553" s="262">
        <v>13118</v>
      </c>
      <c r="P553" s="262">
        <v>18812</v>
      </c>
      <c r="Q553" s="262">
        <v>31822</v>
      </c>
      <c r="R553" s="262">
        <v>45726</v>
      </c>
      <c r="S553" s="262">
        <v>45200</v>
      </c>
      <c r="T553" s="262">
        <v>20084</v>
      </c>
      <c r="U553" s="262">
        <v>12392</v>
      </c>
      <c r="V553" s="262">
        <v>12398</v>
      </c>
      <c r="W553" s="262">
        <v>16038</v>
      </c>
      <c r="X553" s="262">
        <v>12592</v>
      </c>
      <c r="Y553" s="262">
        <f t="shared" si="9"/>
        <v>258946</v>
      </c>
    </row>
    <row r="554" spans="1:25" s="261" customFormat="1" ht="11.25" customHeight="1">
      <c r="A554" s="261">
        <v>2014</v>
      </c>
      <c r="B554" s="261" t="s">
        <v>573</v>
      </c>
      <c r="C554" s="261" t="s">
        <v>32</v>
      </c>
      <c r="D554" s="9" t="s">
        <v>9</v>
      </c>
      <c r="E554" s="261" t="s">
        <v>338</v>
      </c>
      <c r="F554" s="261" t="s">
        <v>151</v>
      </c>
      <c r="G554" s="9" t="s">
        <v>442</v>
      </c>
      <c r="H554" s="9" t="s">
        <v>9</v>
      </c>
      <c r="I554" s="9" t="s">
        <v>338</v>
      </c>
      <c r="J554" s="9" t="s">
        <v>338</v>
      </c>
      <c r="L554" s="261" t="s">
        <v>377</v>
      </c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>
        <f t="shared" si="9"/>
        <v>0</v>
      </c>
    </row>
    <row r="555" spans="1:25" s="261" customFormat="1" ht="11.25" customHeight="1">
      <c r="A555" s="261">
        <v>2014</v>
      </c>
      <c r="B555" s="261" t="s">
        <v>573</v>
      </c>
      <c r="C555" s="261" t="s">
        <v>32</v>
      </c>
      <c r="D555" s="9" t="s">
        <v>9</v>
      </c>
      <c r="E555" s="261" t="s">
        <v>338</v>
      </c>
      <c r="F555" s="261" t="s">
        <v>151</v>
      </c>
      <c r="G555" s="9" t="s">
        <v>442</v>
      </c>
      <c r="H555" s="9" t="s">
        <v>9</v>
      </c>
      <c r="I555" s="9" t="s">
        <v>338</v>
      </c>
      <c r="J555" s="9" t="s">
        <v>338</v>
      </c>
      <c r="L555" s="261" t="s">
        <v>379</v>
      </c>
      <c r="M555" s="262">
        <v>900</v>
      </c>
      <c r="N555" s="262">
        <v>700</v>
      </c>
      <c r="O555" s="262">
        <v>700</v>
      </c>
      <c r="P555" s="262">
        <v>900</v>
      </c>
      <c r="Q555" s="262">
        <v>1200</v>
      </c>
      <c r="R555" s="262">
        <v>1800</v>
      </c>
      <c r="S555" s="262">
        <v>900</v>
      </c>
      <c r="T555" s="262">
        <v>900</v>
      </c>
      <c r="U555" s="262">
        <v>1200</v>
      </c>
      <c r="V555" s="262">
        <v>500</v>
      </c>
      <c r="W555" s="262">
        <v>400</v>
      </c>
      <c r="X555" s="262">
        <v>400</v>
      </c>
      <c r="Y555" s="262">
        <f t="shared" si="9"/>
        <v>10500</v>
      </c>
    </row>
    <row r="556" spans="1:25" s="261" customFormat="1" ht="11.25" customHeight="1">
      <c r="A556" s="261">
        <v>2014</v>
      </c>
      <c r="B556" s="261" t="s">
        <v>573</v>
      </c>
      <c r="C556" s="261" t="s">
        <v>32</v>
      </c>
      <c r="D556" s="9" t="s">
        <v>9</v>
      </c>
      <c r="E556" s="261" t="s">
        <v>338</v>
      </c>
      <c r="F556" s="261" t="s">
        <v>151</v>
      </c>
      <c r="G556" s="9" t="s">
        <v>442</v>
      </c>
      <c r="H556" s="9" t="s">
        <v>9</v>
      </c>
      <c r="I556" s="9" t="s">
        <v>338</v>
      </c>
      <c r="J556" s="9" t="s">
        <v>338</v>
      </c>
      <c r="L556" s="261" t="s">
        <v>395</v>
      </c>
      <c r="M556" s="262">
        <v>220000</v>
      </c>
      <c r="N556" s="262">
        <v>76434</v>
      </c>
      <c r="O556" s="262">
        <v>80199</v>
      </c>
      <c r="P556" s="262">
        <v>128069</v>
      </c>
      <c r="Q556" s="262">
        <v>275854</v>
      </c>
      <c r="R556" s="262">
        <v>471631</v>
      </c>
      <c r="S556" s="262">
        <v>230889</v>
      </c>
      <c r="T556" s="262">
        <v>232344</v>
      </c>
      <c r="U556" s="262">
        <v>133141</v>
      </c>
      <c r="V556" s="262">
        <v>116967</v>
      </c>
      <c r="W556" s="262">
        <v>139045</v>
      </c>
      <c r="X556" s="262">
        <v>109078</v>
      </c>
      <c r="Y556" s="262">
        <f t="shared" si="9"/>
        <v>2213651</v>
      </c>
    </row>
    <row r="557" spans="1:25" s="261" customFormat="1" ht="11.25" customHeight="1">
      <c r="A557" s="261">
        <v>2014</v>
      </c>
      <c r="B557" s="261" t="s">
        <v>573</v>
      </c>
      <c r="C557" s="261" t="s">
        <v>32</v>
      </c>
      <c r="D557" s="9" t="s">
        <v>9</v>
      </c>
      <c r="E557" s="261" t="s">
        <v>338</v>
      </c>
      <c r="F557" s="261" t="s">
        <v>151</v>
      </c>
      <c r="G557" s="9" t="s">
        <v>442</v>
      </c>
      <c r="H557" s="9" t="s">
        <v>9</v>
      </c>
      <c r="I557" s="9" t="s">
        <v>338</v>
      </c>
      <c r="J557" s="9" t="s">
        <v>338</v>
      </c>
      <c r="L557" s="261" t="s">
        <v>364</v>
      </c>
      <c r="M557" s="262">
        <v>48000</v>
      </c>
      <c r="N557" s="262">
        <v>24000</v>
      </c>
      <c r="O557" s="262">
        <v>24000</v>
      </c>
      <c r="P557" s="262"/>
      <c r="Q557" s="262">
        <v>24000</v>
      </c>
      <c r="R557" s="262">
        <v>24000</v>
      </c>
      <c r="S557" s="262">
        <v>24000</v>
      </c>
      <c r="T557" s="262">
        <v>24000</v>
      </c>
      <c r="U557" s="262">
        <v>24000</v>
      </c>
      <c r="V557" s="262">
        <v>24000</v>
      </c>
      <c r="W557" s="262"/>
      <c r="X557" s="262">
        <v>24000</v>
      </c>
      <c r="Y557" s="262">
        <f t="shared" si="9"/>
        <v>264000</v>
      </c>
    </row>
    <row r="558" spans="1:25" s="261" customFormat="1" ht="11.25" customHeight="1">
      <c r="A558" s="261">
        <v>2014</v>
      </c>
      <c r="B558" s="261" t="s">
        <v>573</v>
      </c>
      <c r="C558" s="261" t="s">
        <v>32</v>
      </c>
      <c r="D558" s="9" t="s">
        <v>9</v>
      </c>
      <c r="E558" s="261" t="s">
        <v>338</v>
      </c>
      <c r="F558" s="261" t="s">
        <v>151</v>
      </c>
      <c r="G558" s="9" t="s">
        <v>442</v>
      </c>
      <c r="H558" s="9" t="s">
        <v>9</v>
      </c>
      <c r="I558" s="9" t="s">
        <v>338</v>
      </c>
      <c r="J558" s="9" t="s">
        <v>338</v>
      </c>
      <c r="L558" s="261" t="s">
        <v>348</v>
      </c>
      <c r="M558" s="262">
        <v>1807</v>
      </c>
      <c r="N558" s="262">
        <v>1807</v>
      </c>
      <c r="O558" s="262">
        <v>1807</v>
      </c>
      <c r="P558" s="262">
        <v>1807</v>
      </c>
      <c r="Q558" s="262">
        <v>3614</v>
      </c>
      <c r="R558" s="262">
        <v>3614</v>
      </c>
      <c r="S558" s="262">
        <v>3614</v>
      </c>
      <c r="T558" s="262">
        <v>1807</v>
      </c>
      <c r="U558" s="262">
        <v>1807</v>
      </c>
      <c r="V558" s="262">
        <v>1807</v>
      </c>
      <c r="W558" s="262">
        <v>1807</v>
      </c>
      <c r="X558" s="262">
        <v>1807</v>
      </c>
      <c r="Y558" s="262">
        <f t="shared" si="9"/>
        <v>27105</v>
      </c>
    </row>
    <row r="559" spans="1:25" s="261" customFormat="1" ht="11.25" customHeight="1">
      <c r="A559" s="261">
        <v>2014</v>
      </c>
      <c r="B559" s="261" t="s">
        <v>573</v>
      </c>
      <c r="C559" s="261" t="s">
        <v>32</v>
      </c>
      <c r="D559" s="9" t="s">
        <v>9</v>
      </c>
      <c r="E559" s="261" t="s">
        <v>338</v>
      </c>
      <c r="F559" s="261" t="s">
        <v>151</v>
      </c>
      <c r="G559" s="9" t="s">
        <v>442</v>
      </c>
      <c r="H559" s="9" t="s">
        <v>9</v>
      </c>
      <c r="I559" s="9" t="s">
        <v>338</v>
      </c>
      <c r="J559" s="9" t="s">
        <v>338</v>
      </c>
      <c r="L559" s="261" t="s">
        <v>368</v>
      </c>
      <c r="M559" s="262">
        <v>15000</v>
      </c>
      <c r="N559" s="262">
        <v>15000</v>
      </c>
      <c r="O559" s="262">
        <v>20300</v>
      </c>
      <c r="P559" s="262">
        <v>30100</v>
      </c>
      <c r="Q559" s="262">
        <v>35000</v>
      </c>
      <c r="R559" s="262">
        <v>50400</v>
      </c>
      <c r="S559" s="262">
        <v>57400</v>
      </c>
      <c r="T559" s="262">
        <v>50400</v>
      </c>
      <c r="U559" s="262">
        <v>45500</v>
      </c>
      <c r="V559" s="262">
        <v>32900</v>
      </c>
      <c r="W559" s="262">
        <v>28700</v>
      </c>
      <c r="X559" s="262">
        <v>28000</v>
      </c>
      <c r="Y559" s="262">
        <f t="shared" si="9"/>
        <v>408700</v>
      </c>
    </row>
    <row r="560" spans="1:25" s="261" customFormat="1" ht="11.25" customHeight="1">
      <c r="A560" s="261">
        <v>2014</v>
      </c>
      <c r="B560" s="261" t="s">
        <v>573</v>
      </c>
      <c r="C560" s="261" t="s">
        <v>32</v>
      </c>
      <c r="D560" s="9" t="s">
        <v>9</v>
      </c>
      <c r="E560" s="261" t="s">
        <v>338</v>
      </c>
      <c r="F560" s="261" t="s">
        <v>151</v>
      </c>
      <c r="G560" s="9" t="s">
        <v>442</v>
      </c>
      <c r="H560" s="9" t="s">
        <v>9</v>
      </c>
      <c r="I560" s="9" t="s">
        <v>338</v>
      </c>
      <c r="J560" s="9" t="s">
        <v>338</v>
      </c>
      <c r="L560" s="261" t="s">
        <v>380</v>
      </c>
      <c r="M560" s="262">
        <v>6000</v>
      </c>
      <c r="N560" s="262">
        <v>5000</v>
      </c>
      <c r="O560" s="262">
        <v>5500</v>
      </c>
      <c r="P560" s="262">
        <v>5750</v>
      </c>
      <c r="Q560" s="262">
        <v>6000</v>
      </c>
      <c r="R560" s="262">
        <v>11000</v>
      </c>
      <c r="S560" s="262">
        <v>6000</v>
      </c>
      <c r="T560" s="262">
        <v>11500</v>
      </c>
      <c r="U560" s="262">
        <v>10000</v>
      </c>
      <c r="V560" s="262">
        <v>7000</v>
      </c>
      <c r="W560" s="262">
        <v>5500</v>
      </c>
      <c r="X560" s="262">
        <v>5250</v>
      </c>
      <c r="Y560" s="262">
        <f t="shared" si="9"/>
        <v>84500</v>
      </c>
    </row>
    <row r="561" spans="1:25" s="261" customFormat="1" ht="11.25" customHeight="1">
      <c r="A561" s="261">
        <v>2014</v>
      </c>
      <c r="B561" s="261" t="s">
        <v>573</v>
      </c>
      <c r="C561" s="261" t="s">
        <v>32</v>
      </c>
      <c r="D561" s="9" t="s">
        <v>9</v>
      </c>
      <c r="E561" s="261" t="s">
        <v>338</v>
      </c>
      <c r="F561" s="261" t="s">
        <v>151</v>
      </c>
      <c r="G561" s="9" t="s">
        <v>442</v>
      </c>
      <c r="H561" s="9" t="s">
        <v>9</v>
      </c>
      <c r="I561" s="9" t="s">
        <v>338</v>
      </c>
      <c r="J561" s="9" t="s">
        <v>338</v>
      </c>
      <c r="L561" s="261" t="s">
        <v>357</v>
      </c>
      <c r="M561" s="262">
        <v>4000</v>
      </c>
      <c r="N561" s="262">
        <v>4000</v>
      </c>
      <c r="O561" s="262">
        <v>8000</v>
      </c>
      <c r="P561" s="262">
        <v>10000</v>
      </c>
      <c r="Q561" s="262">
        <v>8000</v>
      </c>
      <c r="R561" s="262"/>
      <c r="S561" s="262">
        <v>20000</v>
      </c>
      <c r="T561" s="262">
        <v>15000</v>
      </c>
      <c r="U561" s="262">
        <v>13000</v>
      </c>
      <c r="V561" s="262">
        <v>5000</v>
      </c>
      <c r="W561" s="262">
        <v>4000</v>
      </c>
      <c r="X561" s="262">
        <v>4000</v>
      </c>
      <c r="Y561" s="262">
        <f t="shared" si="9"/>
        <v>95000</v>
      </c>
    </row>
    <row r="562" spans="1:25" s="261" customFormat="1" ht="11.25" customHeight="1">
      <c r="A562" s="261">
        <v>2014</v>
      </c>
      <c r="B562" s="261" t="s">
        <v>573</v>
      </c>
      <c r="C562" s="261" t="s">
        <v>32</v>
      </c>
      <c r="D562" s="9" t="s">
        <v>9</v>
      </c>
      <c r="E562" s="261" t="s">
        <v>338</v>
      </c>
      <c r="F562" s="261" t="s">
        <v>151</v>
      </c>
      <c r="G562" s="9" t="s">
        <v>442</v>
      </c>
      <c r="H562" s="9" t="s">
        <v>9</v>
      </c>
      <c r="I562" s="9" t="s">
        <v>338</v>
      </c>
      <c r="J562" s="9" t="s">
        <v>338</v>
      </c>
      <c r="L562" s="261" t="s">
        <v>345</v>
      </c>
      <c r="M562" s="262">
        <v>5000</v>
      </c>
      <c r="N562" s="262">
        <v>5000</v>
      </c>
      <c r="O562" s="262">
        <v>5000</v>
      </c>
      <c r="P562" s="262">
        <v>5000</v>
      </c>
      <c r="Q562" s="262">
        <v>5000</v>
      </c>
      <c r="R562" s="262">
        <v>5000</v>
      </c>
      <c r="S562" s="262">
        <v>5000</v>
      </c>
      <c r="T562" s="262">
        <v>5000</v>
      </c>
      <c r="U562" s="262">
        <v>5000</v>
      </c>
      <c r="V562" s="262">
        <v>5000</v>
      </c>
      <c r="W562" s="262">
        <v>5000</v>
      </c>
      <c r="X562" s="262">
        <v>5000</v>
      </c>
      <c r="Y562" s="262">
        <f t="shared" si="9"/>
        <v>60000</v>
      </c>
    </row>
    <row r="563" spans="1:25" s="261" customFormat="1" ht="11.25" customHeight="1">
      <c r="A563" s="261">
        <v>2014</v>
      </c>
      <c r="B563" s="261" t="s">
        <v>573</v>
      </c>
      <c r="C563" s="261" t="s">
        <v>32</v>
      </c>
      <c r="D563" s="9" t="s">
        <v>9</v>
      </c>
      <c r="E563" s="261" t="s">
        <v>338</v>
      </c>
      <c r="F563" s="261" t="s">
        <v>151</v>
      </c>
      <c r="G563" s="9" t="s">
        <v>442</v>
      </c>
      <c r="H563" s="9" t="s">
        <v>9</v>
      </c>
      <c r="I563" s="9" t="s">
        <v>338</v>
      </c>
      <c r="J563" s="9" t="s">
        <v>338</v>
      </c>
      <c r="L563" s="261" t="s">
        <v>369</v>
      </c>
      <c r="M563" s="262">
        <v>25000</v>
      </c>
      <c r="N563" s="262">
        <v>25000</v>
      </c>
      <c r="O563" s="262">
        <v>25000</v>
      </c>
      <c r="P563" s="262">
        <v>50000</v>
      </c>
      <c r="Q563" s="262">
        <v>80000</v>
      </c>
      <c r="R563" s="262">
        <v>80000</v>
      </c>
      <c r="S563" s="262">
        <v>70000</v>
      </c>
      <c r="T563" s="262">
        <v>70000</v>
      </c>
      <c r="U563" s="262">
        <v>50000</v>
      </c>
      <c r="V563" s="262">
        <v>30000</v>
      </c>
      <c r="W563" s="262">
        <v>30000</v>
      </c>
      <c r="X563" s="262">
        <v>30000</v>
      </c>
      <c r="Y563" s="262">
        <f t="shared" si="9"/>
        <v>565000</v>
      </c>
    </row>
    <row r="564" spans="1:25" s="261" customFormat="1" ht="11.25" customHeight="1">
      <c r="A564" s="261">
        <v>2014</v>
      </c>
      <c r="B564" s="261" t="s">
        <v>573</v>
      </c>
      <c r="C564" s="261" t="s">
        <v>32</v>
      </c>
      <c r="D564" s="9" t="s">
        <v>9</v>
      </c>
      <c r="E564" s="261" t="s">
        <v>338</v>
      </c>
      <c r="F564" s="261" t="s">
        <v>151</v>
      </c>
      <c r="G564" s="9" t="s">
        <v>442</v>
      </c>
      <c r="H564" s="9" t="s">
        <v>9</v>
      </c>
      <c r="I564" s="9" t="s">
        <v>338</v>
      </c>
      <c r="J564" s="9" t="s">
        <v>338</v>
      </c>
      <c r="L564" s="261" t="s">
        <v>351</v>
      </c>
      <c r="M564" s="262">
        <v>15000</v>
      </c>
      <c r="N564" s="262">
        <v>4000</v>
      </c>
      <c r="O564" s="262">
        <v>6000</v>
      </c>
      <c r="P564" s="262">
        <v>6000</v>
      </c>
      <c r="Q564" s="262">
        <v>7000</v>
      </c>
      <c r="R564" s="262">
        <v>8000</v>
      </c>
      <c r="S564" s="262">
        <v>8000</v>
      </c>
      <c r="T564" s="262">
        <v>6000</v>
      </c>
      <c r="U564" s="262">
        <v>5000</v>
      </c>
      <c r="V564" s="262">
        <v>5000</v>
      </c>
      <c r="W564" s="262">
        <v>5000</v>
      </c>
      <c r="X564" s="262">
        <v>5000</v>
      </c>
      <c r="Y564" s="262">
        <f t="shared" si="9"/>
        <v>80000</v>
      </c>
    </row>
    <row r="565" spans="1:25" s="261" customFormat="1" ht="11.25" customHeight="1">
      <c r="A565" s="261">
        <v>2014</v>
      </c>
      <c r="B565" s="261" t="s">
        <v>573</v>
      </c>
      <c r="C565" s="261" t="s">
        <v>32</v>
      </c>
      <c r="D565" s="9" t="s">
        <v>9</v>
      </c>
      <c r="E565" s="261" t="s">
        <v>338</v>
      </c>
      <c r="F565" s="261" t="s">
        <v>151</v>
      </c>
      <c r="G565" s="9" t="s">
        <v>442</v>
      </c>
      <c r="H565" s="9" t="s">
        <v>9</v>
      </c>
      <c r="I565" s="9" t="s">
        <v>338</v>
      </c>
      <c r="J565" s="9" t="s">
        <v>338</v>
      </c>
      <c r="L565" s="261" t="s">
        <v>353</v>
      </c>
      <c r="M565" s="262"/>
      <c r="N565" s="262"/>
      <c r="O565" s="262"/>
      <c r="P565" s="262"/>
      <c r="Q565" s="262">
        <v>1500</v>
      </c>
      <c r="R565" s="262"/>
      <c r="S565" s="262"/>
      <c r="T565" s="262">
        <v>1500</v>
      </c>
      <c r="U565" s="262"/>
      <c r="V565" s="262"/>
      <c r="W565" s="262"/>
      <c r="X565" s="262"/>
      <c r="Y565" s="262">
        <f t="shared" si="9"/>
        <v>3000</v>
      </c>
    </row>
    <row r="566" spans="1:25" s="261" customFormat="1" ht="11.25" customHeight="1">
      <c r="A566" s="261">
        <v>2014</v>
      </c>
      <c r="B566" s="261" t="s">
        <v>573</v>
      </c>
      <c r="C566" s="261" t="s">
        <v>32</v>
      </c>
      <c r="D566" s="9" t="s">
        <v>9</v>
      </c>
      <c r="E566" s="261" t="s">
        <v>338</v>
      </c>
      <c r="F566" s="261" t="s">
        <v>151</v>
      </c>
      <c r="G566" s="9" t="s">
        <v>442</v>
      </c>
      <c r="H566" s="9" t="s">
        <v>9</v>
      </c>
      <c r="I566" s="9" t="s">
        <v>338</v>
      </c>
      <c r="J566" s="9" t="s">
        <v>338</v>
      </c>
      <c r="L566" s="261" t="s">
        <v>362</v>
      </c>
      <c r="M566" s="262">
        <v>3600</v>
      </c>
      <c r="N566" s="262">
        <v>3600</v>
      </c>
      <c r="O566" s="262">
        <v>3600</v>
      </c>
      <c r="P566" s="262">
        <v>3600</v>
      </c>
      <c r="Q566" s="262">
        <v>3600</v>
      </c>
      <c r="R566" s="262">
        <v>3600</v>
      </c>
      <c r="S566" s="262">
        <v>3600</v>
      </c>
      <c r="T566" s="262">
        <v>3600</v>
      </c>
      <c r="U566" s="262">
        <v>3600</v>
      </c>
      <c r="V566" s="262">
        <v>3600</v>
      </c>
      <c r="W566" s="262">
        <v>3600</v>
      </c>
      <c r="X566" s="262">
        <v>3600</v>
      </c>
      <c r="Y566" s="262">
        <f t="shared" si="9"/>
        <v>43200</v>
      </c>
    </row>
    <row r="567" spans="1:25" s="261" customFormat="1" ht="11.25" customHeight="1">
      <c r="A567" s="261">
        <v>2014</v>
      </c>
      <c r="B567" s="261" t="s">
        <v>573</v>
      </c>
      <c r="C567" s="261" t="s">
        <v>32</v>
      </c>
      <c r="D567" s="9" t="s">
        <v>9</v>
      </c>
      <c r="E567" s="261" t="s">
        <v>338</v>
      </c>
      <c r="F567" s="261" t="s">
        <v>151</v>
      </c>
      <c r="G567" s="9" t="s">
        <v>442</v>
      </c>
      <c r="H567" s="9" t="s">
        <v>9</v>
      </c>
      <c r="I567" s="9" t="s">
        <v>338</v>
      </c>
      <c r="J567" s="9" t="s">
        <v>338</v>
      </c>
      <c r="L567" s="261" t="s">
        <v>378</v>
      </c>
      <c r="M567" s="262">
        <v>8000</v>
      </c>
      <c r="N567" s="262">
        <v>8000</v>
      </c>
      <c r="O567" s="262">
        <v>8000</v>
      </c>
      <c r="P567" s="262">
        <v>8000</v>
      </c>
      <c r="Q567" s="262">
        <v>8000</v>
      </c>
      <c r="R567" s="262">
        <v>8000</v>
      </c>
      <c r="S567" s="262">
        <v>8000</v>
      </c>
      <c r="T567" s="262">
        <v>8000</v>
      </c>
      <c r="U567" s="262">
        <v>8000</v>
      </c>
      <c r="V567" s="262">
        <v>8000</v>
      </c>
      <c r="W567" s="262">
        <v>8000</v>
      </c>
      <c r="X567" s="262">
        <v>8000</v>
      </c>
      <c r="Y567" s="262">
        <f t="shared" si="9"/>
        <v>96000</v>
      </c>
    </row>
    <row r="568" spans="1:25" s="261" customFormat="1" ht="11.25" customHeight="1">
      <c r="A568" s="261">
        <v>2014</v>
      </c>
      <c r="B568" s="261" t="s">
        <v>573</v>
      </c>
      <c r="C568" s="261" t="s">
        <v>32</v>
      </c>
      <c r="D568" s="9" t="s">
        <v>9</v>
      </c>
      <c r="E568" s="261" t="s">
        <v>338</v>
      </c>
      <c r="F568" s="261" t="s">
        <v>151</v>
      </c>
      <c r="G568" s="9" t="s">
        <v>442</v>
      </c>
      <c r="H568" s="9" t="s">
        <v>9</v>
      </c>
      <c r="I568" s="9" t="s">
        <v>338</v>
      </c>
      <c r="J568" s="9" t="s">
        <v>338</v>
      </c>
      <c r="L568" s="261" t="s">
        <v>154</v>
      </c>
      <c r="M568" s="262">
        <v>1000</v>
      </c>
      <c r="N568" s="262">
        <v>1000</v>
      </c>
      <c r="O568" s="262">
        <v>1000</v>
      </c>
      <c r="P568" s="262">
        <v>1500</v>
      </c>
      <c r="Q568" s="262">
        <v>1500</v>
      </c>
      <c r="R568" s="262">
        <v>2000</v>
      </c>
      <c r="S568" s="262">
        <v>2000</v>
      </c>
      <c r="T568" s="262">
        <v>2000</v>
      </c>
      <c r="U568" s="262">
        <v>1000</v>
      </c>
      <c r="V568" s="262">
        <v>1000</v>
      </c>
      <c r="W568" s="262">
        <v>1000</v>
      </c>
      <c r="X568" s="262">
        <v>1000</v>
      </c>
      <c r="Y568" s="262">
        <f t="shared" si="9"/>
        <v>16000</v>
      </c>
    </row>
    <row r="569" spans="1:25" s="261" customFormat="1" ht="11.25" customHeight="1">
      <c r="A569" s="261">
        <v>2014</v>
      </c>
      <c r="B569" s="261" t="s">
        <v>573</v>
      </c>
      <c r="C569" s="261" t="s">
        <v>32</v>
      </c>
      <c r="D569" s="9" t="s">
        <v>9</v>
      </c>
      <c r="E569" s="261" t="s">
        <v>338</v>
      </c>
      <c r="F569" s="261" t="s">
        <v>151</v>
      </c>
      <c r="G569" s="9" t="s">
        <v>442</v>
      </c>
      <c r="H569" s="9" t="s">
        <v>9</v>
      </c>
      <c r="I569" s="9" t="s">
        <v>338</v>
      </c>
      <c r="J569" s="9" t="s">
        <v>338</v>
      </c>
      <c r="L569" s="261" t="s">
        <v>382</v>
      </c>
      <c r="M569" s="262"/>
      <c r="N569" s="262"/>
      <c r="O569" s="262">
        <v>6500</v>
      </c>
      <c r="P569" s="262">
        <v>6500</v>
      </c>
      <c r="Q569" s="262">
        <v>6500</v>
      </c>
      <c r="R569" s="262">
        <v>6500</v>
      </c>
      <c r="S569" s="262">
        <v>6500</v>
      </c>
      <c r="T569" s="262">
        <v>6500</v>
      </c>
      <c r="U569" s="262">
        <v>6500</v>
      </c>
      <c r="V569" s="262">
        <v>6500</v>
      </c>
      <c r="W569" s="262">
        <v>6500</v>
      </c>
      <c r="X569" s="262">
        <v>6500</v>
      </c>
      <c r="Y569" s="262">
        <f t="shared" si="9"/>
        <v>65000</v>
      </c>
    </row>
    <row r="570" spans="1:25" s="261" customFormat="1" ht="11.25" customHeight="1">
      <c r="A570" s="261">
        <v>2014</v>
      </c>
      <c r="B570" s="261" t="s">
        <v>573</v>
      </c>
      <c r="C570" s="261" t="s">
        <v>32</v>
      </c>
      <c r="D570" s="9" t="s">
        <v>9</v>
      </c>
      <c r="E570" s="261" t="s">
        <v>338</v>
      </c>
      <c r="F570" s="261" t="s">
        <v>151</v>
      </c>
      <c r="G570" s="9" t="s">
        <v>442</v>
      </c>
      <c r="H570" s="9" t="s">
        <v>9</v>
      </c>
      <c r="I570" s="9" t="s">
        <v>338</v>
      </c>
      <c r="J570" s="9" t="s">
        <v>338</v>
      </c>
      <c r="L570" s="261" t="s">
        <v>349</v>
      </c>
      <c r="M570" s="262"/>
      <c r="N570" s="262"/>
      <c r="O570" s="262"/>
      <c r="P570" s="262">
        <v>4000</v>
      </c>
      <c r="Q570" s="262">
        <v>4000</v>
      </c>
      <c r="R570" s="262">
        <v>4000</v>
      </c>
      <c r="S570" s="262">
        <v>4000</v>
      </c>
      <c r="T570" s="262">
        <v>2000</v>
      </c>
      <c r="U570" s="262">
        <v>2000</v>
      </c>
      <c r="V570" s="262"/>
      <c r="W570" s="262"/>
      <c r="X570" s="262">
        <v>4000</v>
      </c>
      <c r="Y570" s="262">
        <f t="shared" si="9"/>
        <v>24000</v>
      </c>
    </row>
    <row r="571" spans="1:25" s="261" customFormat="1" ht="11.25" customHeight="1">
      <c r="A571" s="261">
        <v>2014</v>
      </c>
      <c r="B571" s="261" t="s">
        <v>573</v>
      </c>
      <c r="C571" s="261" t="s">
        <v>32</v>
      </c>
      <c r="D571" s="9" t="s">
        <v>9</v>
      </c>
      <c r="E571" s="261" t="s">
        <v>338</v>
      </c>
      <c r="F571" s="261" t="s">
        <v>151</v>
      </c>
      <c r="G571" s="9" t="s">
        <v>442</v>
      </c>
      <c r="H571" s="9" t="s">
        <v>9</v>
      </c>
      <c r="I571" s="9" t="s">
        <v>338</v>
      </c>
      <c r="J571" s="9" t="s">
        <v>338</v>
      </c>
      <c r="L571" s="261" t="s">
        <v>359</v>
      </c>
      <c r="M571" s="262">
        <v>2000</v>
      </c>
      <c r="N571" s="262">
        <v>1000</v>
      </c>
      <c r="O571" s="262">
        <v>1000</v>
      </c>
      <c r="P571" s="262">
        <v>2000</v>
      </c>
      <c r="Q571" s="262">
        <v>2000</v>
      </c>
      <c r="R571" s="262">
        <v>2000</v>
      </c>
      <c r="S571" s="262">
        <v>1614</v>
      </c>
      <c r="T571" s="262">
        <v>1170</v>
      </c>
      <c r="U571" s="262">
        <v>843</v>
      </c>
      <c r="V571" s="262">
        <v>1000</v>
      </c>
      <c r="W571" s="262">
        <v>1000</v>
      </c>
      <c r="X571" s="262">
        <v>1000</v>
      </c>
      <c r="Y571" s="262">
        <f t="shared" si="9"/>
        <v>16627</v>
      </c>
    </row>
    <row r="572" spans="1:25" s="261" customFormat="1" ht="11.25" customHeight="1">
      <c r="A572" s="261">
        <v>2014</v>
      </c>
      <c r="B572" s="261" t="s">
        <v>573</v>
      </c>
      <c r="C572" s="261" t="s">
        <v>32</v>
      </c>
      <c r="D572" s="9" t="s">
        <v>9</v>
      </c>
      <c r="E572" s="261" t="s">
        <v>338</v>
      </c>
      <c r="F572" s="261" t="s">
        <v>151</v>
      </c>
      <c r="G572" s="9" t="s">
        <v>442</v>
      </c>
      <c r="H572" s="9" t="s">
        <v>9</v>
      </c>
      <c r="I572" s="9" t="s">
        <v>338</v>
      </c>
      <c r="J572" s="9" t="s">
        <v>338</v>
      </c>
      <c r="L572" s="261" t="s">
        <v>360</v>
      </c>
      <c r="M572" s="262">
        <v>2835</v>
      </c>
      <c r="N572" s="262">
        <v>1495</v>
      </c>
      <c r="O572" s="262">
        <v>1756</v>
      </c>
      <c r="P572" s="262">
        <v>2416</v>
      </c>
      <c r="Q572" s="262">
        <v>3017</v>
      </c>
      <c r="R572" s="262">
        <v>3919</v>
      </c>
      <c r="S572" s="262">
        <v>2000</v>
      </c>
      <c r="T572" s="262">
        <v>2000</v>
      </c>
      <c r="U572" s="262">
        <v>1000</v>
      </c>
      <c r="V572" s="262">
        <v>1047</v>
      </c>
      <c r="W572" s="262">
        <v>1525</v>
      </c>
      <c r="X572" s="262">
        <v>2200</v>
      </c>
      <c r="Y572" s="262">
        <f t="shared" si="9"/>
        <v>25210</v>
      </c>
    </row>
    <row r="573" spans="1:25" s="261" customFormat="1" ht="11.25" customHeight="1">
      <c r="A573" s="261">
        <v>2014</v>
      </c>
      <c r="B573" s="261" t="s">
        <v>573</v>
      </c>
      <c r="C573" s="261" t="s">
        <v>32</v>
      </c>
      <c r="D573" s="9" t="s">
        <v>9</v>
      </c>
      <c r="E573" s="261" t="s">
        <v>338</v>
      </c>
      <c r="F573" s="261" t="s">
        <v>151</v>
      </c>
      <c r="G573" s="9" t="s">
        <v>442</v>
      </c>
      <c r="H573" s="9" t="s">
        <v>9</v>
      </c>
      <c r="I573" s="9" t="s">
        <v>338</v>
      </c>
      <c r="J573" s="9" t="s">
        <v>338</v>
      </c>
      <c r="L573" s="261" t="s">
        <v>367</v>
      </c>
      <c r="M573" s="262">
        <v>0</v>
      </c>
      <c r="N573" s="262">
        <v>0</v>
      </c>
      <c r="O573" s="262">
        <v>0</v>
      </c>
      <c r="P573" s="262">
        <v>0</v>
      </c>
      <c r="Q573" s="262">
        <v>0</v>
      </c>
      <c r="R573" s="262">
        <v>0</v>
      </c>
      <c r="S573" s="262">
        <v>0</v>
      </c>
      <c r="T573" s="262">
        <v>0</v>
      </c>
      <c r="U573" s="262">
        <v>0</v>
      </c>
      <c r="V573" s="262">
        <v>0</v>
      </c>
      <c r="W573" s="262">
        <v>0</v>
      </c>
      <c r="X573" s="262">
        <v>0</v>
      </c>
      <c r="Y573" s="262">
        <f t="shared" si="9"/>
        <v>0</v>
      </c>
    </row>
    <row r="574" spans="1:25" s="261" customFormat="1" ht="11.25" customHeight="1">
      <c r="A574" s="261">
        <v>2014</v>
      </c>
      <c r="B574" s="261" t="s">
        <v>573</v>
      </c>
      <c r="C574" s="261" t="s">
        <v>32</v>
      </c>
      <c r="D574" s="9" t="s">
        <v>9</v>
      </c>
      <c r="E574" s="261" t="s">
        <v>338</v>
      </c>
      <c r="F574" s="261" t="s">
        <v>151</v>
      </c>
      <c r="G574" s="9" t="s">
        <v>442</v>
      </c>
      <c r="H574" s="9" t="s">
        <v>9</v>
      </c>
      <c r="I574" s="9" t="s">
        <v>338</v>
      </c>
      <c r="J574" s="9" t="s">
        <v>338</v>
      </c>
      <c r="L574" s="261" t="s">
        <v>381</v>
      </c>
      <c r="M574" s="262">
        <v>5000</v>
      </c>
      <c r="N574" s="262">
        <v>5000</v>
      </c>
      <c r="O574" s="262">
        <v>5000</v>
      </c>
      <c r="P574" s="262">
        <v>5000</v>
      </c>
      <c r="Q574" s="262">
        <v>5000</v>
      </c>
      <c r="R574" s="262">
        <v>5000</v>
      </c>
      <c r="S574" s="262">
        <v>5000</v>
      </c>
      <c r="T574" s="262">
        <v>5000</v>
      </c>
      <c r="U574" s="262">
        <v>5000</v>
      </c>
      <c r="V574" s="262">
        <v>5000</v>
      </c>
      <c r="W574" s="262">
        <v>5000</v>
      </c>
      <c r="X574" s="262">
        <v>5000</v>
      </c>
      <c r="Y574" s="262">
        <f t="shared" si="9"/>
        <v>60000</v>
      </c>
    </row>
    <row r="575" spans="1:25" s="261" customFormat="1" ht="11.25" customHeight="1">
      <c r="A575" s="261">
        <v>2014</v>
      </c>
      <c r="B575" s="261" t="s">
        <v>573</v>
      </c>
      <c r="C575" s="261" t="s">
        <v>32</v>
      </c>
      <c r="D575" s="9" t="s">
        <v>9</v>
      </c>
      <c r="E575" s="261" t="s">
        <v>338</v>
      </c>
      <c r="F575" s="261" t="s">
        <v>151</v>
      </c>
      <c r="G575" s="9" t="s">
        <v>442</v>
      </c>
      <c r="H575" s="9" t="s">
        <v>9</v>
      </c>
      <c r="I575" s="9" t="s">
        <v>338</v>
      </c>
      <c r="J575" s="9" t="s">
        <v>338</v>
      </c>
      <c r="L575" s="261" t="s">
        <v>366</v>
      </c>
      <c r="M575" s="262">
        <v>22000</v>
      </c>
      <c r="N575" s="262">
        <v>22000</v>
      </c>
      <c r="O575" s="262">
        <v>23800</v>
      </c>
      <c r="P575" s="262">
        <v>30000</v>
      </c>
      <c r="Q575" s="262">
        <v>40000</v>
      </c>
      <c r="R575" s="262">
        <v>45000</v>
      </c>
      <c r="S575" s="262">
        <v>40000</v>
      </c>
      <c r="T575" s="262">
        <v>35000</v>
      </c>
      <c r="U575" s="262">
        <v>20000</v>
      </c>
      <c r="V575" s="262">
        <v>18000</v>
      </c>
      <c r="W575" s="262">
        <v>16000</v>
      </c>
      <c r="X575" s="262">
        <v>18000</v>
      </c>
      <c r="Y575" s="262">
        <f t="shared" si="9"/>
        <v>329800</v>
      </c>
    </row>
    <row r="576" spans="1:25" s="261" customFormat="1" ht="11.25" customHeight="1">
      <c r="A576" s="261">
        <v>2014</v>
      </c>
      <c r="B576" s="261" t="s">
        <v>573</v>
      </c>
      <c r="C576" s="261" t="s">
        <v>32</v>
      </c>
      <c r="D576" s="9" t="s">
        <v>9</v>
      </c>
      <c r="E576" s="261" t="s">
        <v>338</v>
      </c>
      <c r="F576" s="261" t="s">
        <v>151</v>
      </c>
      <c r="G576" s="9" t="s">
        <v>442</v>
      </c>
      <c r="H576" s="9" t="s">
        <v>9</v>
      </c>
      <c r="I576" s="9" t="s">
        <v>338</v>
      </c>
      <c r="J576" s="9" t="s">
        <v>338</v>
      </c>
      <c r="L576" s="261" t="s">
        <v>393</v>
      </c>
      <c r="M576" s="262">
        <v>20195</v>
      </c>
      <c r="N576" s="262">
        <v>18000</v>
      </c>
      <c r="O576" s="262">
        <v>18000</v>
      </c>
      <c r="P576" s="262">
        <v>19000</v>
      </c>
      <c r="Q576" s="262">
        <v>20000</v>
      </c>
      <c r="R576" s="262">
        <v>23000</v>
      </c>
      <c r="S576" s="262">
        <v>30400</v>
      </c>
      <c r="T576" s="262">
        <v>31000</v>
      </c>
      <c r="U576" s="262">
        <v>31000</v>
      </c>
      <c r="V576" s="262">
        <v>26600</v>
      </c>
      <c r="W576" s="262">
        <v>28500</v>
      </c>
      <c r="X576" s="262">
        <v>20600</v>
      </c>
      <c r="Y576" s="262">
        <f t="shared" si="9"/>
        <v>286295</v>
      </c>
    </row>
    <row r="577" spans="1:25" s="261" customFormat="1" ht="11.25" customHeight="1">
      <c r="A577" s="261">
        <v>2014</v>
      </c>
      <c r="B577" s="261" t="s">
        <v>573</v>
      </c>
      <c r="C577" s="261" t="s">
        <v>32</v>
      </c>
      <c r="D577" s="9" t="s">
        <v>9</v>
      </c>
      <c r="E577" s="261" t="s">
        <v>338</v>
      </c>
      <c r="F577" s="261" t="s">
        <v>151</v>
      </c>
      <c r="G577" s="9" t="s">
        <v>442</v>
      </c>
      <c r="H577" s="9" t="s">
        <v>9</v>
      </c>
      <c r="I577" s="9" t="s">
        <v>338</v>
      </c>
      <c r="J577" s="9" t="s">
        <v>338</v>
      </c>
      <c r="L577" s="261" t="s">
        <v>355</v>
      </c>
      <c r="M577" s="262">
        <v>5000</v>
      </c>
      <c r="N577" s="262">
        <v>5000</v>
      </c>
      <c r="O577" s="262">
        <v>5000</v>
      </c>
      <c r="P577" s="262">
        <v>5000</v>
      </c>
      <c r="Q577" s="262">
        <v>5000</v>
      </c>
      <c r="R577" s="262">
        <v>5000</v>
      </c>
      <c r="S577" s="262">
        <v>5000</v>
      </c>
      <c r="T577" s="262">
        <v>5000</v>
      </c>
      <c r="U577" s="262">
        <v>5000</v>
      </c>
      <c r="V577" s="262">
        <v>5000</v>
      </c>
      <c r="W577" s="262">
        <v>5000</v>
      </c>
      <c r="X577" s="262">
        <v>7000</v>
      </c>
      <c r="Y577" s="262">
        <f t="shared" si="9"/>
        <v>62000</v>
      </c>
    </row>
    <row r="578" spans="1:25" s="261" customFormat="1" ht="11.25" customHeight="1">
      <c r="A578" s="261">
        <v>2014</v>
      </c>
      <c r="B578" s="261" t="s">
        <v>573</v>
      </c>
      <c r="C578" s="261" t="s">
        <v>32</v>
      </c>
      <c r="D578" s="9" t="s">
        <v>9</v>
      </c>
      <c r="E578" s="261" t="s">
        <v>338</v>
      </c>
      <c r="F578" s="261" t="s">
        <v>151</v>
      </c>
      <c r="G578" s="9" t="s">
        <v>442</v>
      </c>
      <c r="H578" s="9" t="s">
        <v>9</v>
      </c>
      <c r="I578" s="9" t="s">
        <v>338</v>
      </c>
      <c r="J578" s="9" t="s">
        <v>338</v>
      </c>
      <c r="L578" s="261" t="s">
        <v>383</v>
      </c>
      <c r="M578" s="262"/>
      <c r="N578" s="262"/>
      <c r="O578" s="262">
        <v>1500</v>
      </c>
      <c r="P578" s="262">
        <v>1500</v>
      </c>
      <c r="Q578" s="262">
        <v>1500</v>
      </c>
      <c r="R578" s="262">
        <v>1500</v>
      </c>
      <c r="S578" s="262">
        <v>1500</v>
      </c>
      <c r="T578" s="262">
        <v>1500</v>
      </c>
      <c r="U578" s="262"/>
      <c r="V578" s="262">
        <v>1500</v>
      </c>
      <c r="W578" s="262"/>
      <c r="X578" s="262">
        <v>1500</v>
      </c>
      <c r="Y578" s="262">
        <f t="shared" ref="Y578:Y641" si="10">SUM(M578:X578)</f>
        <v>12000</v>
      </c>
    </row>
    <row r="579" spans="1:25" s="261" customFormat="1" ht="11.25" customHeight="1">
      <c r="A579" s="261">
        <v>2014</v>
      </c>
      <c r="B579" s="261" t="s">
        <v>573</v>
      </c>
      <c r="C579" s="261" t="s">
        <v>32</v>
      </c>
      <c r="D579" s="9" t="s">
        <v>9</v>
      </c>
      <c r="E579" s="261" t="s">
        <v>338</v>
      </c>
      <c r="F579" s="261" t="s">
        <v>151</v>
      </c>
      <c r="G579" s="9" t="s">
        <v>442</v>
      </c>
      <c r="H579" s="9" t="s">
        <v>9</v>
      </c>
      <c r="I579" s="9" t="s">
        <v>338</v>
      </c>
      <c r="J579" s="9" t="s">
        <v>338</v>
      </c>
      <c r="L579" s="261" t="s">
        <v>341</v>
      </c>
      <c r="M579" s="262">
        <v>75</v>
      </c>
      <c r="N579" s="262">
        <v>75</v>
      </c>
      <c r="O579" s="262">
        <v>75</v>
      </c>
      <c r="P579" s="262">
        <v>75</v>
      </c>
      <c r="Q579" s="262">
        <v>150</v>
      </c>
      <c r="R579" s="262">
        <v>150</v>
      </c>
      <c r="S579" s="262">
        <v>150</v>
      </c>
      <c r="T579" s="262">
        <v>150</v>
      </c>
      <c r="U579" s="262">
        <v>75</v>
      </c>
      <c r="V579" s="262">
        <v>75</v>
      </c>
      <c r="W579" s="262">
        <v>75</v>
      </c>
      <c r="X579" s="262">
        <v>75</v>
      </c>
      <c r="Y579" s="262">
        <f t="shared" si="10"/>
        <v>1200</v>
      </c>
    </row>
    <row r="580" spans="1:25" s="261" customFormat="1" ht="11.25" customHeight="1">
      <c r="A580" s="261">
        <v>2014</v>
      </c>
      <c r="B580" s="261" t="s">
        <v>573</v>
      </c>
      <c r="C580" s="261" t="s">
        <v>32</v>
      </c>
      <c r="D580" s="9" t="s">
        <v>9</v>
      </c>
      <c r="E580" s="261" t="s">
        <v>338</v>
      </c>
      <c r="F580" s="261" t="s">
        <v>151</v>
      </c>
      <c r="G580" s="9" t="s">
        <v>442</v>
      </c>
      <c r="H580" s="9" t="s">
        <v>9</v>
      </c>
      <c r="I580" s="9" t="s">
        <v>338</v>
      </c>
      <c r="J580" s="9" t="s">
        <v>338</v>
      </c>
      <c r="L580" s="261" t="s">
        <v>339</v>
      </c>
      <c r="M580" s="262">
        <v>0</v>
      </c>
      <c r="N580" s="262">
        <v>0</v>
      </c>
      <c r="O580" s="262">
        <v>0</v>
      </c>
      <c r="P580" s="262">
        <v>0</v>
      </c>
      <c r="Q580" s="262">
        <v>0</v>
      </c>
      <c r="R580" s="262">
        <v>0</v>
      </c>
      <c r="S580" s="262">
        <v>0</v>
      </c>
      <c r="T580" s="262">
        <v>0</v>
      </c>
      <c r="U580" s="262">
        <v>0</v>
      </c>
      <c r="V580" s="262">
        <v>0</v>
      </c>
      <c r="W580" s="262">
        <v>0</v>
      </c>
      <c r="X580" s="262">
        <v>0</v>
      </c>
      <c r="Y580" s="262">
        <f t="shared" si="10"/>
        <v>0</v>
      </c>
    </row>
    <row r="581" spans="1:25" s="261" customFormat="1" ht="11.25" customHeight="1">
      <c r="A581" s="261">
        <v>2014</v>
      </c>
      <c r="B581" s="261" t="s">
        <v>573</v>
      </c>
      <c r="C581" s="261" t="s">
        <v>32</v>
      </c>
      <c r="D581" s="9" t="s">
        <v>9</v>
      </c>
      <c r="E581" s="261" t="s">
        <v>338</v>
      </c>
      <c r="F581" s="261" t="s">
        <v>151</v>
      </c>
      <c r="G581" s="9" t="s">
        <v>442</v>
      </c>
      <c r="H581" s="9" t="s">
        <v>9</v>
      </c>
      <c r="I581" s="9" t="s">
        <v>338</v>
      </c>
      <c r="J581" s="9" t="s">
        <v>338</v>
      </c>
      <c r="L581" s="261" t="s">
        <v>518</v>
      </c>
      <c r="M581" s="262"/>
      <c r="N581" s="262"/>
      <c r="O581" s="262"/>
      <c r="P581" s="262"/>
      <c r="Q581" s="262"/>
      <c r="R581" s="262"/>
      <c r="S581" s="262">
        <v>2000</v>
      </c>
      <c r="T581" s="262">
        <v>2000</v>
      </c>
      <c r="U581" s="262">
        <v>3000</v>
      </c>
      <c r="V581" s="262">
        <v>2000</v>
      </c>
      <c r="W581" s="262">
        <v>2000</v>
      </c>
      <c r="X581" s="262">
        <v>4000</v>
      </c>
      <c r="Y581" s="262">
        <f t="shared" si="10"/>
        <v>15000</v>
      </c>
    </row>
    <row r="582" spans="1:25" s="261" customFormat="1" ht="11.25" customHeight="1">
      <c r="A582" s="261">
        <v>2014</v>
      </c>
      <c r="B582" s="261" t="s">
        <v>573</v>
      </c>
      <c r="C582" s="261" t="s">
        <v>32</v>
      </c>
      <c r="D582" s="9" t="s">
        <v>9</v>
      </c>
      <c r="E582" s="261" t="s">
        <v>338</v>
      </c>
      <c r="F582" s="261" t="s">
        <v>151</v>
      </c>
      <c r="G582" s="9" t="s">
        <v>442</v>
      </c>
      <c r="H582" s="9" t="s">
        <v>9</v>
      </c>
      <c r="I582" s="9" t="s">
        <v>338</v>
      </c>
      <c r="J582" s="9" t="s">
        <v>338</v>
      </c>
      <c r="L582" s="261" t="s">
        <v>376</v>
      </c>
      <c r="M582" s="262">
        <v>4000</v>
      </c>
      <c r="N582" s="262">
        <v>4000</v>
      </c>
      <c r="O582" s="262">
        <v>4000</v>
      </c>
      <c r="P582" s="262">
        <v>4000</v>
      </c>
      <c r="Q582" s="262">
        <v>8000</v>
      </c>
      <c r="R582" s="262">
        <v>8000</v>
      </c>
      <c r="S582" s="262">
        <v>4000</v>
      </c>
      <c r="T582" s="262">
        <v>8000</v>
      </c>
      <c r="U582" s="262">
        <v>4000</v>
      </c>
      <c r="V582" s="262">
        <v>4000</v>
      </c>
      <c r="W582" s="262">
        <v>4000</v>
      </c>
      <c r="X582" s="262">
        <v>36000</v>
      </c>
      <c r="Y582" s="262">
        <f t="shared" si="10"/>
        <v>92000</v>
      </c>
    </row>
    <row r="583" spans="1:25" s="261" customFormat="1" ht="11.25" customHeight="1">
      <c r="A583" s="261">
        <v>2014</v>
      </c>
      <c r="B583" s="261" t="s">
        <v>573</v>
      </c>
      <c r="C583" s="261" t="s">
        <v>32</v>
      </c>
      <c r="D583" s="9" t="s">
        <v>9</v>
      </c>
      <c r="E583" s="261" t="s">
        <v>338</v>
      </c>
      <c r="F583" s="261" t="s">
        <v>151</v>
      </c>
      <c r="G583" s="9" t="s">
        <v>442</v>
      </c>
      <c r="H583" s="9" t="s">
        <v>9</v>
      </c>
      <c r="I583" s="9" t="s">
        <v>338</v>
      </c>
      <c r="J583" s="9" t="s">
        <v>338</v>
      </c>
      <c r="L583" s="261" t="s">
        <v>374</v>
      </c>
      <c r="M583" s="262">
        <v>5000</v>
      </c>
      <c r="N583" s="262">
        <v>5000</v>
      </c>
      <c r="O583" s="262">
        <v>5000</v>
      </c>
      <c r="P583" s="262">
        <v>5000</v>
      </c>
      <c r="Q583" s="262">
        <v>5000</v>
      </c>
      <c r="R583" s="262">
        <v>5000</v>
      </c>
      <c r="S583" s="262">
        <v>5000</v>
      </c>
      <c r="T583" s="262">
        <v>5000</v>
      </c>
      <c r="U583" s="262">
        <v>5000</v>
      </c>
      <c r="V583" s="262">
        <v>5000</v>
      </c>
      <c r="W583" s="262">
        <v>5000</v>
      </c>
      <c r="X583" s="262">
        <v>5000</v>
      </c>
      <c r="Y583" s="262">
        <f t="shared" si="10"/>
        <v>60000</v>
      </c>
    </row>
    <row r="584" spans="1:25" s="261" customFormat="1" ht="11.25" customHeight="1">
      <c r="A584" s="261">
        <v>2014</v>
      </c>
      <c r="B584" s="261" t="s">
        <v>573</v>
      </c>
      <c r="C584" s="261" t="s">
        <v>32</v>
      </c>
      <c r="D584" s="9" t="s">
        <v>9</v>
      </c>
      <c r="E584" s="261" t="s">
        <v>338</v>
      </c>
      <c r="F584" s="261" t="s">
        <v>151</v>
      </c>
      <c r="G584" s="9" t="s">
        <v>442</v>
      </c>
      <c r="H584" s="9" t="s">
        <v>9</v>
      </c>
      <c r="I584" s="9" t="s">
        <v>338</v>
      </c>
      <c r="J584" s="9" t="s">
        <v>338</v>
      </c>
      <c r="L584" s="261" t="s">
        <v>340</v>
      </c>
      <c r="M584" s="262">
        <v>282</v>
      </c>
      <c r="N584" s="262">
        <v>316</v>
      </c>
      <c r="O584" s="262">
        <v>238</v>
      </c>
      <c r="P584" s="262">
        <v>308</v>
      </c>
      <c r="Q584" s="262">
        <v>184</v>
      </c>
      <c r="R584" s="262">
        <v>489</v>
      </c>
      <c r="S584" s="262">
        <v>572</v>
      </c>
      <c r="T584" s="262">
        <v>422</v>
      </c>
      <c r="U584" s="262">
        <v>216</v>
      </c>
      <c r="V584" s="262">
        <v>339</v>
      </c>
      <c r="W584" s="262">
        <v>131</v>
      </c>
      <c r="X584" s="262">
        <v>400</v>
      </c>
      <c r="Y584" s="262">
        <f t="shared" si="10"/>
        <v>3897</v>
      </c>
    </row>
    <row r="585" spans="1:25" s="261" customFormat="1" ht="11.25" customHeight="1">
      <c r="A585" s="261">
        <v>2014</v>
      </c>
      <c r="B585" s="261" t="s">
        <v>573</v>
      </c>
      <c r="C585" s="261" t="s">
        <v>32</v>
      </c>
      <c r="D585" s="9" t="s">
        <v>9</v>
      </c>
      <c r="E585" s="261" t="s">
        <v>338</v>
      </c>
      <c r="F585" s="261" t="s">
        <v>151</v>
      </c>
      <c r="G585" s="9" t="s">
        <v>442</v>
      </c>
      <c r="H585" s="9" t="s">
        <v>9</v>
      </c>
      <c r="I585" s="9" t="s">
        <v>338</v>
      </c>
      <c r="J585" s="9" t="s">
        <v>338</v>
      </c>
      <c r="L585" s="261" t="s">
        <v>363</v>
      </c>
      <c r="M585" s="262">
        <v>3500</v>
      </c>
      <c r="N585" s="262">
        <v>3500</v>
      </c>
      <c r="O585" s="262">
        <v>3500</v>
      </c>
      <c r="P585" s="262">
        <v>3500</v>
      </c>
      <c r="Q585" s="262">
        <v>3500</v>
      </c>
      <c r="R585" s="262">
        <v>3500</v>
      </c>
      <c r="S585" s="262">
        <v>3500</v>
      </c>
      <c r="T585" s="262">
        <v>3500</v>
      </c>
      <c r="U585" s="262">
        <v>3500</v>
      </c>
      <c r="V585" s="262">
        <v>3500</v>
      </c>
      <c r="W585" s="262">
        <v>3500</v>
      </c>
      <c r="X585" s="262">
        <v>3500</v>
      </c>
      <c r="Y585" s="262">
        <f t="shared" si="10"/>
        <v>42000</v>
      </c>
    </row>
    <row r="586" spans="1:25" s="261" customFormat="1" ht="11.25" customHeight="1">
      <c r="A586" s="261">
        <v>2014</v>
      </c>
      <c r="B586" s="261" t="s">
        <v>573</v>
      </c>
      <c r="C586" s="261" t="s">
        <v>32</v>
      </c>
      <c r="D586" s="9" t="s">
        <v>9</v>
      </c>
      <c r="E586" s="261" t="s">
        <v>338</v>
      </c>
      <c r="F586" s="261" t="s">
        <v>151</v>
      </c>
      <c r="G586" s="9" t="s">
        <v>442</v>
      </c>
      <c r="H586" s="9" t="s">
        <v>9</v>
      </c>
      <c r="I586" s="9" t="s">
        <v>338</v>
      </c>
      <c r="J586" s="9" t="s">
        <v>338</v>
      </c>
      <c r="L586" s="261" t="s">
        <v>358</v>
      </c>
      <c r="M586" s="262">
        <v>700</v>
      </c>
      <c r="N586" s="262">
        <v>700</v>
      </c>
      <c r="O586" s="262">
        <v>1300</v>
      </c>
      <c r="P586" s="262">
        <v>700</v>
      </c>
      <c r="Q586" s="262">
        <v>1300</v>
      </c>
      <c r="R586" s="262">
        <v>700</v>
      </c>
      <c r="S586" s="262">
        <v>1300</v>
      </c>
      <c r="T586" s="262">
        <v>700</v>
      </c>
      <c r="U586" s="262">
        <v>1300</v>
      </c>
      <c r="V586" s="262">
        <v>700</v>
      </c>
      <c r="W586" s="262">
        <v>700</v>
      </c>
      <c r="X586" s="262">
        <v>900</v>
      </c>
      <c r="Y586" s="262">
        <f t="shared" si="10"/>
        <v>11000</v>
      </c>
    </row>
    <row r="587" spans="1:25" s="261" customFormat="1" ht="11.25" customHeight="1">
      <c r="A587" s="261">
        <v>2014</v>
      </c>
      <c r="B587" s="261" t="s">
        <v>573</v>
      </c>
      <c r="C587" s="261" t="s">
        <v>32</v>
      </c>
      <c r="D587" s="9" t="s">
        <v>9</v>
      </c>
      <c r="E587" s="261" t="s">
        <v>338</v>
      </c>
      <c r="F587" s="261" t="s">
        <v>151</v>
      </c>
      <c r="G587" s="9" t="s">
        <v>442</v>
      </c>
      <c r="H587" s="9" t="s">
        <v>9</v>
      </c>
      <c r="I587" s="9" t="s">
        <v>338</v>
      </c>
      <c r="J587" s="9" t="s">
        <v>338</v>
      </c>
      <c r="L587" s="261" t="s">
        <v>343</v>
      </c>
      <c r="M587" s="262">
        <v>500</v>
      </c>
      <c r="N587" s="262">
        <v>500</v>
      </c>
      <c r="O587" s="262">
        <v>500</v>
      </c>
      <c r="P587" s="262">
        <v>500</v>
      </c>
      <c r="Q587" s="262">
        <v>500</v>
      </c>
      <c r="R587" s="262">
        <v>500</v>
      </c>
      <c r="S587" s="262">
        <v>500</v>
      </c>
      <c r="T587" s="262">
        <v>500</v>
      </c>
      <c r="U587" s="262">
        <v>500</v>
      </c>
      <c r="V587" s="262">
        <v>500</v>
      </c>
      <c r="W587" s="262">
        <v>500</v>
      </c>
      <c r="X587" s="262">
        <v>500</v>
      </c>
      <c r="Y587" s="262">
        <f t="shared" si="10"/>
        <v>6000</v>
      </c>
    </row>
    <row r="588" spans="1:25" s="261" customFormat="1" ht="11.25" customHeight="1">
      <c r="A588" s="261">
        <v>2014</v>
      </c>
      <c r="B588" s="261" t="s">
        <v>573</v>
      </c>
      <c r="C588" s="261" t="s">
        <v>32</v>
      </c>
      <c r="D588" s="9" t="s">
        <v>9</v>
      </c>
      <c r="E588" s="261" t="s">
        <v>338</v>
      </c>
      <c r="F588" s="261" t="s">
        <v>151</v>
      </c>
      <c r="G588" s="9" t="s">
        <v>442</v>
      </c>
      <c r="H588" s="9" t="s">
        <v>9</v>
      </c>
      <c r="I588" s="9" t="s">
        <v>338</v>
      </c>
      <c r="J588" s="9" t="s">
        <v>338</v>
      </c>
      <c r="L588" s="261" t="s">
        <v>392</v>
      </c>
      <c r="M588" s="262">
        <v>11147</v>
      </c>
      <c r="N588" s="262">
        <v>8502</v>
      </c>
      <c r="O588" s="262">
        <v>8072</v>
      </c>
      <c r="P588" s="262">
        <v>14357</v>
      </c>
      <c r="Q588" s="262">
        <v>17756</v>
      </c>
      <c r="R588" s="262">
        <v>17888</v>
      </c>
      <c r="S588" s="262">
        <v>20170</v>
      </c>
      <c r="T588" s="262">
        <v>17473</v>
      </c>
      <c r="U588" s="262">
        <v>10508</v>
      </c>
      <c r="V588" s="262">
        <v>9071</v>
      </c>
      <c r="W588" s="262">
        <v>7118</v>
      </c>
      <c r="X588" s="262">
        <v>7973</v>
      </c>
      <c r="Y588" s="262">
        <f t="shared" si="10"/>
        <v>150035</v>
      </c>
    </row>
    <row r="589" spans="1:25" s="261" customFormat="1" ht="11.25" customHeight="1">
      <c r="A589" s="261">
        <v>2014</v>
      </c>
      <c r="B589" s="261" t="s">
        <v>573</v>
      </c>
      <c r="C589" s="261" t="s">
        <v>32</v>
      </c>
      <c r="D589" s="9" t="s">
        <v>9</v>
      </c>
      <c r="E589" s="261" t="s">
        <v>338</v>
      </c>
      <c r="F589" s="261" t="s">
        <v>151</v>
      </c>
      <c r="G589" s="9" t="s">
        <v>442</v>
      </c>
      <c r="H589" s="9" t="s">
        <v>9</v>
      </c>
      <c r="I589" s="9" t="s">
        <v>338</v>
      </c>
      <c r="J589" s="9" t="s">
        <v>338</v>
      </c>
      <c r="L589" s="261" t="s">
        <v>375</v>
      </c>
      <c r="M589" s="262">
        <v>1000</v>
      </c>
      <c r="N589" s="262">
        <v>1000</v>
      </c>
      <c r="O589" s="262">
        <v>1000</v>
      </c>
      <c r="P589" s="262">
        <v>1000</v>
      </c>
      <c r="Q589" s="262">
        <v>1000</v>
      </c>
      <c r="R589" s="262">
        <v>1000</v>
      </c>
      <c r="S589" s="262">
        <v>1000</v>
      </c>
      <c r="T589" s="262">
        <v>1000</v>
      </c>
      <c r="U589" s="262">
        <v>1000</v>
      </c>
      <c r="V589" s="262">
        <v>1000</v>
      </c>
      <c r="W589" s="262">
        <v>1000</v>
      </c>
      <c r="X589" s="262">
        <v>1000</v>
      </c>
      <c r="Y589" s="262">
        <f t="shared" si="10"/>
        <v>12000</v>
      </c>
    </row>
    <row r="590" spans="1:25" s="261" customFormat="1" ht="11.25" customHeight="1">
      <c r="A590" s="261">
        <v>2014</v>
      </c>
      <c r="B590" s="261" t="s">
        <v>573</v>
      </c>
      <c r="C590" s="261" t="s">
        <v>32</v>
      </c>
      <c r="D590" s="9" t="s">
        <v>9</v>
      </c>
      <c r="E590" s="261" t="s">
        <v>338</v>
      </c>
      <c r="F590" s="261" t="s">
        <v>151</v>
      </c>
      <c r="G590" s="9" t="s">
        <v>442</v>
      </c>
      <c r="H590" s="9" t="s">
        <v>9</v>
      </c>
      <c r="I590" s="9" t="s">
        <v>338</v>
      </c>
      <c r="J590" s="9" t="s">
        <v>338</v>
      </c>
      <c r="L590" s="261" t="s">
        <v>373</v>
      </c>
      <c r="M590" s="262"/>
      <c r="N590" s="262"/>
      <c r="O590" s="262"/>
      <c r="P590" s="262">
        <v>150000</v>
      </c>
      <c r="Q590" s="262">
        <v>150000</v>
      </c>
      <c r="R590" s="262">
        <v>150000</v>
      </c>
      <c r="S590" s="262">
        <v>150000</v>
      </c>
      <c r="T590" s="262">
        <v>100000</v>
      </c>
      <c r="U590" s="262"/>
      <c r="V590" s="262"/>
      <c r="W590" s="262"/>
      <c r="X590" s="262"/>
      <c r="Y590" s="262">
        <f t="shared" si="10"/>
        <v>700000</v>
      </c>
    </row>
    <row r="591" spans="1:25" s="261" customFormat="1" ht="11.25" customHeight="1">
      <c r="A591" s="261">
        <v>2014</v>
      </c>
      <c r="B591" s="261" t="s">
        <v>573</v>
      </c>
      <c r="C591" s="261" t="s">
        <v>32</v>
      </c>
      <c r="D591" s="9" t="s">
        <v>9</v>
      </c>
      <c r="E591" s="261" t="s">
        <v>338</v>
      </c>
      <c r="F591" s="261" t="s">
        <v>151</v>
      </c>
      <c r="G591" s="9" t="s">
        <v>442</v>
      </c>
      <c r="H591" s="9" t="s">
        <v>9</v>
      </c>
      <c r="I591" s="9" t="s">
        <v>338</v>
      </c>
      <c r="J591" s="9" t="s">
        <v>338</v>
      </c>
      <c r="L591" s="261" t="s">
        <v>365</v>
      </c>
      <c r="M591" s="262">
        <v>30724</v>
      </c>
      <c r="N591" s="262">
        <v>26070</v>
      </c>
      <c r="O591" s="262">
        <v>34065</v>
      </c>
      <c r="P591" s="262">
        <v>34415</v>
      </c>
      <c r="Q591" s="262">
        <v>64716</v>
      </c>
      <c r="R591" s="262">
        <v>62271</v>
      </c>
      <c r="S591" s="262">
        <v>62409</v>
      </c>
      <c r="T591" s="262">
        <v>54061</v>
      </c>
      <c r="U591" s="262">
        <v>30298</v>
      </c>
      <c r="V591" s="262">
        <v>33947</v>
      </c>
      <c r="W591" s="262">
        <v>28663</v>
      </c>
      <c r="X591" s="262">
        <v>24481</v>
      </c>
      <c r="Y591" s="262">
        <f t="shared" si="10"/>
        <v>486120</v>
      </c>
    </row>
    <row r="592" spans="1:25" s="261" customFormat="1" ht="11.25" customHeight="1">
      <c r="A592" s="261">
        <v>2014</v>
      </c>
      <c r="B592" s="261" t="s">
        <v>573</v>
      </c>
      <c r="C592" s="261" t="s">
        <v>32</v>
      </c>
      <c r="D592" s="9" t="s">
        <v>9</v>
      </c>
      <c r="E592" s="261" t="s">
        <v>338</v>
      </c>
      <c r="F592" s="261" t="s">
        <v>151</v>
      </c>
      <c r="G592" s="9" t="s">
        <v>442</v>
      </c>
      <c r="H592" s="9" t="s">
        <v>9</v>
      </c>
      <c r="I592" s="9" t="s">
        <v>338</v>
      </c>
      <c r="J592" s="9" t="s">
        <v>338</v>
      </c>
      <c r="L592" s="261" t="s">
        <v>372</v>
      </c>
      <c r="M592" s="262">
        <v>30000</v>
      </c>
      <c r="N592" s="262">
        <v>30000</v>
      </c>
      <c r="O592" s="262">
        <v>50000</v>
      </c>
      <c r="P592" s="262">
        <v>135000</v>
      </c>
      <c r="Q592" s="262">
        <v>60000</v>
      </c>
      <c r="R592" s="262">
        <v>35000</v>
      </c>
      <c r="S592" s="262">
        <v>50000</v>
      </c>
      <c r="T592" s="262">
        <v>135000</v>
      </c>
      <c r="U592" s="262">
        <v>45000</v>
      </c>
      <c r="V592" s="262">
        <v>45000</v>
      </c>
      <c r="W592" s="262">
        <v>50000</v>
      </c>
      <c r="X592" s="262">
        <v>135000</v>
      </c>
      <c r="Y592" s="262">
        <f t="shared" si="10"/>
        <v>800000</v>
      </c>
    </row>
    <row r="593" spans="1:25" s="261" customFormat="1" ht="11.25" customHeight="1">
      <c r="A593" s="261">
        <v>2014</v>
      </c>
      <c r="B593" s="261" t="s">
        <v>573</v>
      </c>
      <c r="C593" s="261" t="s">
        <v>32</v>
      </c>
      <c r="D593" s="9" t="s">
        <v>9</v>
      </c>
      <c r="E593" s="261" t="s">
        <v>338</v>
      </c>
      <c r="F593" s="261" t="s">
        <v>151</v>
      </c>
      <c r="G593" s="9" t="s">
        <v>442</v>
      </c>
      <c r="H593" s="9" t="s">
        <v>9</v>
      </c>
      <c r="I593" s="9" t="s">
        <v>338</v>
      </c>
      <c r="J593" s="9" t="s">
        <v>338</v>
      </c>
      <c r="L593" s="261" t="s">
        <v>371</v>
      </c>
      <c r="M593" s="262"/>
      <c r="N593" s="262">
        <v>150000</v>
      </c>
      <c r="O593" s="262"/>
      <c r="P593" s="262">
        <v>150000</v>
      </c>
      <c r="Q593" s="262"/>
      <c r="R593" s="262">
        <v>150000</v>
      </c>
      <c r="S593" s="262"/>
      <c r="T593" s="262">
        <v>153000</v>
      </c>
      <c r="U593" s="262"/>
      <c r="V593" s="262"/>
      <c r="W593" s="262"/>
      <c r="X593" s="262"/>
      <c r="Y593" s="262">
        <f t="shared" si="10"/>
        <v>603000</v>
      </c>
    </row>
    <row r="594" spans="1:25" s="261" customFormat="1" ht="11.25" customHeight="1">
      <c r="A594" s="261">
        <v>2014</v>
      </c>
      <c r="B594" s="261" t="s">
        <v>573</v>
      </c>
      <c r="C594" s="261" t="s">
        <v>32</v>
      </c>
      <c r="D594" s="9" t="s">
        <v>9</v>
      </c>
      <c r="E594" s="261" t="s">
        <v>338</v>
      </c>
      <c r="F594" s="261" t="s">
        <v>151</v>
      </c>
      <c r="G594" s="9" t="s">
        <v>442</v>
      </c>
      <c r="H594" s="9" t="s">
        <v>9</v>
      </c>
      <c r="I594" s="9" t="s">
        <v>338</v>
      </c>
      <c r="J594" s="9" t="s">
        <v>338</v>
      </c>
      <c r="L594" s="261" t="s">
        <v>352</v>
      </c>
      <c r="M594" s="262"/>
      <c r="N594" s="262"/>
      <c r="O594" s="262"/>
      <c r="P594" s="262">
        <v>1500</v>
      </c>
      <c r="Q594" s="262">
        <v>1000</v>
      </c>
      <c r="R594" s="262">
        <v>1500</v>
      </c>
      <c r="S594" s="262"/>
      <c r="T594" s="262"/>
      <c r="U594" s="262">
        <v>1500</v>
      </c>
      <c r="V594" s="262"/>
      <c r="W594" s="262"/>
      <c r="X594" s="262">
        <v>1500</v>
      </c>
      <c r="Y594" s="262">
        <f t="shared" si="10"/>
        <v>7000</v>
      </c>
    </row>
    <row r="595" spans="1:25" s="261" customFormat="1" ht="11.25" customHeight="1">
      <c r="A595" s="261">
        <v>2014</v>
      </c>
      <c r="B595" s="261" t="s">
        <v>573</v>
      </c>
      <c r="C595" s="261" t="s">
        <v>32</v>
      </c>
      <c r="D595" s="9" t="s">
        <v>9</v>
      </c>
      <c r="E595" s="261" t="s">
        <v>338</v>
      </c>
      <c r="F595" s="261" t="s">
        <v>151</v>
      </c>
      <c r="G595" s="9" t="s">
        <v>442</v>
      </c>
      <c r="H595" s="9" t="s">
        <v>9</v>
      </c>
      <c r="I595" s="9" t="s">
        <v>338</v>
      </c>
      <c r="J595" s="9" t="s">
        <v>338</v>
      </c>
      <c r="L595" s="261" t="s">
        <v>370</v>
      </c>
      <c r="M595" s="262">
        <v>14287</v>
      </c>
      <c r="N595" s="262">
        <v>13477</v>
      </c>
      <c r="O595" s="262">
        <v>12693</v>
      </c>
      <c r="P595" s="262">
        <v>20775</v>
      </c>
      <c r="Q595" s="262">
        <v>30933</v>
      </c>
      <c r="R595" s="262">
        <v>17809</v>
      </c>
      <c r="S595" s="262">
        <v>31683</v>
      </c>
      <c r="T595" s="262">
        <v>21140</v>
      </c>
      <c r="U595" s="262">
        <v>10862</v>
      </c>
      <c r="V595" s="262">
        <v>11728</v>
      </c>
      <c r="W595" s="262">
        <v>9889</v>
      </c>
      <c r="X595" s="262">
        <v>18673</v>
      </c>
      <c r="Y595" s="262">
        <f t="shared" si="10"/>
        <v>213949</v>
      </c>
    </row>
    <row r="596" spans="1:25" s="261" customFormat="1" ht="11.25" customHeight="1">
      <c r="A596" s="261">
        <v>2014</v>
      </c>
      <c r="B596" s="261" t="s">
        <v>573</v>
      </c>
      <c r="C596" s="261" t="s">
        <v>32</v>
      </c>
      <c r="D596" s="9" t="s">
        <v>9</v>
      </c>
      <c r="E596" s="261" t="s">
        <v>10</v>
      </c>
      <c r="F596" s="261" t="s">
        <v>151</v>
      </c>
      <c r="G596" s="9" t="s">
        <v>442</v>
      </c>
      <c r="H596" s="9" t="s">
        <v>9</v>
      </c>
      <c r="I596" s="9" t="s">
        <v>10</v>
      </c>
      <c r="J596" s="9" t="s">
        <v>15</v>
      </c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>
        <f t="shared" si="10"/>
        <v>0</v>
      </c>
    </row>
    <row r="597" spans="1:25" s="261" customFormat="1" ht="11.25" customHeight="1">
      <c r="A597" s="261">
        <v>2014</v>
      </c>
      <c r="B597" s="261" t="s">
        <v>573</v>
      </c>
      <c r="C597" s="261" t="s">
        <v>32</v>
      </c>
      <c r="D597" s="9" t="s">
        <v>9</v>
      </c>
      <c r="E597" s="261" t="s">
        <v>10</v>
      </c>
      <c r="F597" s="261" t="s">
        <v>151</v>
      </c>
      <c r="G597" s="9" t="s">
        <v>442</v>
      </c>
      <c r="H597" s="9" t="s">
        <v>9</v>
      </c>
      <c r="I597" s="9" t="s">
        <v>10</v>
      </c>
      <c r="J597" s="9" t="s">
        <v>384</v>
      </c>
      <c r="M597" s="262">
        <v>30000</v>
      </c>
      <c r="N597" s="262">
        <v>30000</v>
      </c>
      <c r="O597" s="262">
        <v>30000</v>
      </c>
      <c r="P597" s="262">
        <v>30000</v>
      </c>
      <c r="Q597" s="262">
        <v>30000</v>
      </c>
      <c r="R597" s="262">
        <v>30000</v>
      </c>
      <c r="S597" s="262">
        <v>30000</v>
      </c>
      <c r="T597" s="262">
        <v>30000</v>
      </c>
      <c r="U597" s="262">
        <v>30000</v>
      </c>
      <c r="V597" s="262">
        <v>30000</v>
      </c>
      <c r="W597" s="262">
        <v>30000</v>
      </c>
      <c r="X597" s="262">
        <v>30000</v>
      </c>
      <c r="Y597" s="262">
        <f t="shared" si="10"/>
        <v>360000</v>
      </c>
    </row>
    <row r="598" spans="1:25" s="261" customFormat="1" ht="11.25" customHeight="1">
      <c r="A598" s="261">
        <v>2014</v>
      </c>
      <c r="B598" s="261" t="s">
        <v>573</v>
      </c>
      <c r="C598" s="261" t="s">
        <v>32</v>
      </c>
      <c r="D598" s="9" t="s">
        <v>32</v>
      </c>
      <c r="E598" s="261" t="s">
        <v>29</v>
      </c>
      <c r="F598" s="261" t="s">
        <v>151</v>
      </c>
      <c r="G598" s="9" t="s">
        <v>442</v>
      </c>
      <c r="H598" s="9" t="s">
        <v>29</v>
      </c>
      <c r="I598" s="9" t="s">
        <v>29</v>
      </c>
      <c r="J598" s="9" t="s">
        <v>31</v>
      </c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>
        <f t="shared" si="10"/>
        <v>0</v>
      </c>
    </row>
    <row r="599" spans="1:25" s="261" customFormat="1" ht="11.25" customHeight="1">
      <c r="A599" s="261">
        <v>2014</v>
      </c>
      <c r="B599" s="261" t="s">
        <v>574</v>
      </c>
      <c r="C599" s="261" t="s">
        <v>32</v>
      </c>
      <c r="D599" s="9" t="s">
        <v>152</v>
      </c>
      <c r="E599" s="261" t="s">
        <v>153</v>
      </c>
      <c r="F599" s="261" t="s">
        <v>151</v>
      </c>
      <c r="G599" s="9" t="s">
        <v>442</v>
      </c>
      <c r="H599" s="9" t="s">
        <v>152</v>
      </c>
      <c r="I599" s="9" t="s">
        <v>153</v>
      </c>
      <c r="J599" s="9" t="s">
        <v>153</v>
      </c>
      <c r="L599" s="261" t="s">
        <v>342</v>
      </c>
      <c r="M599" s="262">
        <v>1787.0740016166653</v>
      </c>
      <c r="N599" s="262">
        <v>1944.4903735097655</v>
      </c>
      <c r="O599" s="262">
        <v>2271.3383344497488</v>
      </c>
      <c r="P599" s="262">
        <v>3054.6739190407402</v>
      </c>
      <c r="Q599" s="262">
        <v>5250.4302191607867</v>
      </c>
      <c r="R599" s="262">
        <v>6022.0946637365378</v>
      </c>
      <c r="S599" s="262">
        <v>5250.0869660434673</v>
      </c>
      <c r="T599" s="262">
        <v>4348.420274619999</v>
      </c>
      <c r="U599" s="262">
        <v>2520.244537411887</v>
      </c>
      <c r="V599" s="262">
        <v>1965.1407441241133</v>
      </c>
      <c r="W599" s="262">
        <v>1928.5236783704959</v>
      </c>
      <c r="X599" s="262">
        <v>2082.1757892966957</v>
      </c>
      <c r="Y599" s="262">
        <f t="shared" si="10"/>
        <v>38424.693501380898</v>
      </c>
    </row>
    <row r="600" spans="1:25" s="261" customFormat="1" ht="11.25" customHeight="1">
      <c r="A600" s="261">
        <v>2014</v>
      </c>
      <c r="B600" s="261" t="s">
        <v>574</v>
      </c>
      <c r="C600" s="261" t="s">
        <v>32</v>
      </c>
      <c r="D600" s="9" t="s">
        <v>152</v>
      </c>
      <c r="E600" s="261" t="s">
        <v>153</v>
      </c>
      <c r="F600" s="261" t="s">
        <v>151</v>
      </c>
      <c r="G600" s="9" t="s">
        <v>442</v>
      </c>
      <c r="H600" s="9" t="s">
        <v>152</v>
      </c>
      <c r="I600" s="9" t="s">
        <v>153</v>
      </c>
      <c r="J600" s="9" t="s">
        <v>153</v>
      </c>
      <c r="L600" s="261" t="s">
        <v>356</v>
      </c>
      <c r="M600" s="262">
        <v>1450</v>
      </c>
      <c r="N600" s="262">
        <v>1972</v>
      </c>
      <c r="O600" s="262">
        <v>2507</v>
      </c>
      <c r="P600" s="262">
        <v>3082</v>
      </c>
      <c r="Q600" s="262">
        <v>5799</v>
      </c>
      <c r="R600" s="262">
        <v>4872</v>
      </c>
      <c r="S600" s="262">
        <v>5073</v>
      </c>
      <c r="T600" s="262">
        <v>3802</v>
      </c>
      <c r="U600" s="262">
        <v>1920</v>
      </c>
      <c r="V600" s="262">
        <v>2155</v>
      </c>
      <c r="W600" s="262">
        <v>2071</v>
      </c>
      <c r="X600" s="262">
        <v>2014</v>
      </c>
      <c r="Y600" s="262">
        <f t="shared" si="10"/>
        <v>36717</v>
      </c>
    </row>
    <row r="601" spans="1:25" s="261" customFormat="1" ht="11.25" customHeight="1">
      <c r="A601" s="261">
        <v>2014</v>
      </c>
      <c r="B601" s="261" t="s">
        <v>574</v>
      </c>
      <c r="C601" s="261" t="s">
        <v>32</v>
      </c>
      <c r="D601" s="9" t="s">
        <v>152</v>
      </c>
      <c r="E601" s="261" t="s">
        <v>153</v>
      </c>
      <c r="F601" s="261" t="s">
        <v>151</v>
      </c>
      <c r="G601" s="9" t="s">
        <v>442</v>
      </c>
      <c r="H601" s="9" t="s">
        <v>152</v>
      </c>
      <c r="I601" s="9" t="s">
        <v>153</v>
      </c>
      <c r="J601" s="9" t="s">
        <v>153</v>
      </c>
      <c r="L601" s="261" t="s">
        <v>354</v>
      </c>
      <c r="M601" s="262">
        <v>11935</v>
      </c>
      <c r="N601" s="262">
        <v>14429</v>
      </c>
      <c r="O601" s="262">
        <v>18517</v>
      </c>
      <c r="P601" s="262">
        <v>23547</v>
      </c>
      <c r="Q601" s="262">
        <v>31279</v>
      </c>
      <c r="R601" s="262">
        <v>20700</v>
      </c>
      <c r="S601" s="262">
        <v>25080</v>
      </c>
      <c r="T601" s="262">
        <v>22763</v>
      </c>
      <c r="U601" s="262">
        <v>21500</v>
      </c>
      <c r="V601" s="262">
        <v>23664.486625553891</v>
      </c>
      <c r="W601" s="262">
        <v>23031.846178082273</v>
      </c>
      <c r="X601" s="262">
        <v>24664.964088793029</v>
      </c>
      <c r="Y601" s="262">
        <f t="shared" si="10"/>
        <v>261111.29689242921</v>
      </c>
    </row>
    <row r="602" spans="1:25" s="261" customFormat="1" ht="11.25" customHeight="1">
      <c r="A602" s="261">
        <v>2014</v>
      </c>
      <c r="B602" s="261" t="s">
        <v>574</v>
      </c>
      <c r="C602" s="261" t="s">
        <v>32</v>
      </c>
      <c r="D602" s="9" t="s">
        <v>152</v>
      </c>
      <c r="E602" s="261" t="s">
        <v>153</v>
      </c>
      <c r="F602" s="261" t="s">
        <v>151</v>
      </c>
      <c r="G602" s="9" t="s">
        <v>442</v>
      </c>
      <c r="H602" s="9" t="s">
        <v>152</v>
      </c>
      <c r="I602" s="9" t="s">
        <v>153</v>
      </c>
      <c r="J602" s="9" t="s">
        <v>153</v>
      </c>
      <c r="L602" s="261" t="s">
        <v>185</v>
      </c>
      <c r="M602" s="262">
        <v>23576</v>
      </c>
      <c r="N602" s="262">
        <v>18740</v>
      </c>
      <c r="O602" s="262">
        <v>17709</v>
      </c>
      <c r="P602" s="262">
        <v>25250</v>
      </c>
      <c r="Q602" s="262">
        <v>40200</v>
      </c>
      <c r="R602" s="262">
        <v>30542</v>
      </c>
      <c r="S602" s="262">
        <v>38618</v>
      </c>
      <c r="T602" s="262">
        <v>31542</v>
      </c>
      <c r="U602" s="262">
        <v>17635</v>
      </c>
      <c r="V602" s="262">
        <v>15704</v>
      </c>
      <c r="W602" s="262">
        <v>34800</v>
      </c>
      <c r="X602" s="262">
        <v>25651</v>
      </c>
      <c r="Y602" s="262">
        <f t="shared" si="10"/>
        <v>319967</v>
      </c>
    </row>
    <row r="603" spans="1:25" s="261" customFormat="1" ht="11.25" customHeight="1">
      <c r="A603" s="261">
        <v>2014</v>
      </c>
      <c r="B603" s="261" t="s">
        <v>574</v>
      </c>
      <c r="C603" s="261" t="s">
        <v>32</v>
      </c>
      <c r="D603" s="9" t="s">
        <v>152</v>
      </c>
      <c r="E603" s="261" t="s">
        <v>153</v>
      </c>
      <c r="F603" s="261" t="s">
        <v>151</v>
      </c>
      <c r="G603" s="9" t="s">
        <v>442</v>
      </c>
      <c r="H603" s="9" t="s">
        <v>152</v>
      </c>
      <c r="I603" s="9" t="s">
        <v>153</v>
      </c>
      <c r="J603" s="9" t="s">
        <v>153</v>
      </c>
      <c r="L603" s="261" t="s">
        <v>394</v>
      </c>
      <c r="M603" s="262">
        <v>16307</v>
      </c>
      <c r="N603" s="262">
        <v>11660</v>
      </c>
      <c r="O603" s="262">
        <v>11926</v>
      </c>
      <c r="P603" s="262">
        <v>17102</v>
      </c>
      <c r="Q603" s="262">
        <v>28929</v>
      </c>
      <c r="R603" s="262">
        <v>41569</v>
      </c>
      <c r="S603" s="262">
        <v>32696</v>
      </c>
      <c r="T603" s="262">
        <v>18258</v>
      </c>
      <c r="U603" s="262">
        <v>11266</v>
      </c>
      <c r="V603" s="262">
        <v>11271</v>
      </c>
      <c r="W603" s="262">
        <v>14580</v>
      </c>
      <c r="X603" s="262">
        <v>11447</v>
      </c>
      <c r="Y603" s="262">
        <f t="shared" si="10"/>
        <v>227011</v>
      </c>
    </row>
    <row r="604" spans="1:25" s="261" customFormat="1" ht="11.25" customHeight="1">
      <c r="A604" s="261">
        <v>2014</v>
      </c>
      <c r="B604" s="261" t="s">
        <v>574</v>
      </c>
      <c r="C604" s="261" t="s">
        <v>32</v>
      </c>
      <c r="D604" s="9" t="s">
        <v>152</v>
      </c>
      <c r="E604" s="261" t="s">
        <v>153</v>
      </c>
      <c r="F604" s="261" t="s">
        <v>151</v>
      </c>
      <c r="G604" s="9" t="s">
        <v>442</v>
      </c>
      <c r="H604" s="9" t="s">
        <v>152</v>
      </c>
      <c r="I604" s="9" t="s">
        <v>153</v>
      </c>
      <c r="J604" s="9" t="s">
        <v>153</v>
      </c>
      <c r="L604" s="261" t="s">
        <v>377</v>
      </c>
      <c r="M604" s="262">
        <v>3195</v>
      </c>
      <c r="N604" s="262">
        <v>2314</v>
      </c>
      <c r="O604" s="262">
        <v>3442</v>
      </c>
      <c r="P604" s="262">
        <v>6098</v>
      </c>
      <c r="Q604" s="262">
        <v>9691</v>
      </c>
      <c r="R604" s="262">
        <v>9122</v>
      </c>
      <c r="S604" s="262">
        <v>11794</v>
      </c>
      <c r="T604" s="262">
        <v>10103</v>
      </c>
      <c r="U604" s="262">
        <v>3615</v>
      </c>
      <c r="V604" s="262">
        <v>3040</v>
      </c>
      <c r="W604" s="262">
        <v>2682</v>
      </c>
      <c r="X604" s="262">
        <v>2966</v>
      </c>
      <c r="Y604" s="262">
        <f t="shared" si="10"/>
        <v>68062</v>
      </c>
    </row>
    <row r="605" spans="1:25" s="261" customFormat="1" ht="11.25" customHeight="1">
      <c r="A605" s="261">
        <v>2014</v>
      </c>
      <c r="B605" s="261" t="s">
        <v>574</v>
      </c>
      <c r="C605" s="261" t="s">
        <v>32</v>
      </c>
      <c r="D605" s="9" t="s">
        <v>152</v>
      </c>
      <c r="E605" s="261" t="s">
        <v>153</v>
      </c>
      <c r="F605" s="261" t="s">
        <v>151</v>
      </c>
      <c r="G605" s="9" t="s">
        <v>442</v>
      </c>
      <c r="H605" s="9" t="s">
        <v>152</v>
      </c>
      <c r="I605" s="9" t="s">
        <v>153</v>
      </c>
      <c r="J605" s="9" t="s">
        <v>153</v>
      </c>
      <c r="L605" s="261" t="s">
        <v>379</v>
      </c>
      <c r="M605" s="262">
        <v>296.17295939195162</v>
      </c>
      <c r="N605" s="262">
        <v>313.35507359676149</v>
      </c>
      <c r="O605" s="262">
        <v>387.68548198114951</v>
      </c>
      <c r="P605" s="262">
        <v>624.47140958848297</v>
      </c>
      <c r="Q605" s="262">
        <v>1238.2422002406718</v>
      </c>
      <c r="R605" s="262">
        <v>1428.795980383306</v>
      </c>
      <c r="S605" s="262">
        <v>1240.8920714048322</v>
      </c>
      <c r="T605" s="262">
        <v>968.01236284888557</v>
      </c>
      <c r="U605" s="262">
        <v>800</v>
      </c>
      <c r="V605" s="262">
        <v>700</v>
      </c>
      <c r="W605" s="262">
        <v>900</v>
      </c>
      <c r="X605" s="262">
        <v>500</v>
      </c>
      <c r="Y605" s="262">
        <f t="shared" si="10"/>
        <v>9397.6275394360418</v>
      </c>
    </row>
    <row r="606" spans="1:25" s="261" customFormat="1" ht="11.25" customHeight="1">
      <c r="A606" s="261">
        <v>2014</v>
      </c>
      <c r="B606" s="261" t="s">
        <v>574</v>
      </c>
      <c r="C606" s="261" t="s">
        <v>32</v>
      </c>
      <c r="D606" s="9" t="s">
        <v>152</v>
      </c>
      <c r="E606" s="261" t="s">
        <v>153</v>
      </c>
      <c r="F606" s="261" t="s">
        <v>151</v>
      </c>
      <c r="G606" s="9" t="s">
        <v>442</v>
      </c>
      <c r="H606" s="9" t="s">
        <v>152</v>
      </c>
      <c r="I606" s="9" t="s">
        <v>153</v>
      </c>
      <c r="J606" s="9" t="s">
        <v>153</v>
      </c>
      <c r="L606" s="261" t="s">
        <v>395</v>
      </c>
      <c r="M606" s="262">
        <v>273189</v>
      </c>
      <c r="N606" s="262">
        <v>899800</v>
      </c>
      <c r="O606" s="262">
        <v>328012</v>
      </c>
      <c r="P606" s="262">
        <v>523801</v>
      </c>
      <c r="Q606" s="262">
        <v>1128242</v>
      </c>
      <c r="R606" s="262">
        <v>1928970</v>
      </c>
      <c r="S606" s="262">
        <v>944337</v>
      </c>
      <c r="T606" s="262">
        <v>950288</v>
      </c>
      <c r="U606" s="262">
        <v>544547</v>
      </c>
      <c r="V606" s="262">
        <v>478393</v>
      </c>
      <c r="W606" s="262">
        <v>568694</v>
      </c>
      <c r="X606" s="262">
        <v>446128</v>
      </c>
      <c r="Y606" s="262">
        <f t="shared" si="10"/>
        <v>9014401</v>
      </c>
    </row>
    <row r="607" spans="1:25" s="261" customFormat="1" ht="11.25" customHeight="1">
      <c r="A607" s="261">
        <v>2014</v>
      </c>
      <c r="B607" s="261" t="s">
        <v>574</v>
      </c>
      <c r="C607" s="261" t="s">
        <v>32</v>
      </c>
      <c r="D607" s="9" t="s">
        <v>152</v>
      </c>
      <c r="E607" s="261" t="s">
        <v>153</v>
      </c>
      <c r="F607" s="261" t="s">
        <v>151</v>
      </c>
      <c r="G607" s="9" t="s">
        <v>442</v>
      </c>
      <c r="H607" s="9" t="s">
        <v>152</v>
      </c>
      <c r="I607" s="9" t="s">
        <v>153</v>
      </c>
      <c r="J607" s="9" t="s">
        <v>153</v>
      </c>
      <c r="L607" s="261" t="s">
        <v>364</v>
      </c>
      <c r="M607" s="262">
        <v>20598</v>
      </c>
      <c r="N607" s="262">
        <v>21210</v>
      </c>
      <c r="O607" s="262">
        <v>28072</v>
      </c>
      <c r="P607" s="262">
        <v>36539</v>
      </c>
      <c r="Q607" s="262">
        <v>47529</v>
      </c>
      <c r="R607" s="262">
        <v>46322</v>
      </c>
      <c r="S607" s="262">
        <v>51531</v>
      </c>
      <c r="T607" s="262">
        <v>43472</v>
      </c>
      <c r="U607" s="262">
        <v>13876</v>
      </c>
      <c r="V607" s="262">
        <v>15183</v>
      </c>
      <c r="W607" s="262">
        <v>16371</v>
      </c>
      <c r="X607" s="262">
        <v>17543</v>
      </c>
      <c r="Y607" s="262">
        <f t="shared" si="10"/>
        <v>358246</v>
      </c>
    </row>
    <row r="608" spans="1:25" s="261" customFormat="1" ht="11.25" customHeight="1">
      <c r="A608" s="261">
        <v>2014</v>
      </c>
      <c r="B608" s="261" t="s">
        <v>574</v>
      </c>
      <c r="C608" s="261" t="s">
        <v>32</v>
      </c>
      <c r="D608" s="9" t="s">
        <v>152</v>
      </c>
      <c r="E608" s="261" t="s">
        <v>153</v>
      </c>
      <c r="F608" s="261" t="s">
        <v>151</v>
      </c>
      <c r="G608" s="9" t="s">
        <v>442</v>
      </c>
      <c r="H608" s="9" t="s">
        <v>152</v>
      </c>
      <c r="I608" s="9" t="s">
        <v>153</v>
      </c>
      <c r="J608" s="9" t="s">
        <v>153</v>
      </c>
      <c r="L608" s="261" t="s">
        <v>348</v>
      </c>
      <c r="M608" s="262">
        <v>4543</v>
      </c>
      <c r="N608" s="262">
        <v>6241</v>
      </c>
      <c r="O608" s="262">
        <v>4057</v>
      </c>
      <c r="P608" s="262">
        <v>4703</v>
      </c>
      <c r="Q608" s="262">
        <v>9799</v>
      </c>
      <c r="R608" s="262">
        <v>6126</v>
      </c>
      <c r="S608" s="262">
        <v>6480</v>
      </c>
      <c r="T608" s="262">
        <v>5395</v>
      </c>
      <c r="U608" s="262">
        <v>4518</v>
      </c>
      <c r="V608" s="262">
        <v>3775</v>
      </c>
      <c r="W608" s="262">
        <v>5107</v>
      </c>
      <c r="X608" s="262">
        <v>4319.9867629553501</v>
      </c>
      <c r="Y608" s="262">
        <f t="shared" si="10"/>
        <v>65063.986762955348</v>
      </c>
    </row>
    <row r="609" spans="1:25" s="261" customFormat="1" ht="11.25" customHeight="1">
      <c r="A609" s="261">
        <v>2014</v>
      </c>
      <c r="B609" s="261" t="s">
        <v>574</v>
      </c>
      <c r="C609" s="261" t="s">
        <v>32</v>
      </c>
      <c r="D609" s="9" t="s">
        <v>152</v>
      </c>
      <c r="E609" s="261" t="s">
        <v>153</v>
      </c>
      <c r="F609" s="261" t="s">
        <v>151</v>
      </c>
      <c r="G609" s="9" t="s">
        <v>442</v>
      </c>
      <c r="H609" s="9" t="s">
        <v>152</v>
      </c>
      <c r="I609" s="9" t="s">
        <v>153</v>
      </c>
      <c r="J609" s="9" t="s">
        <v>153</v>
      </c>
      <c r="L609" s="261" t="s">
        <v>368</v>
      </c>
      <c r="M609" s="262">
        <v>25323</v>
      </c>
      <c r="N609" s="262">
        <v>37485</v>
      </c>
      <c r="O609" s="262">
        <v>27465</v>
      </c>
      <c r="P609" s="262">
        <v>45424</v>
      </c>
      <c r="Q609" s="262">
        <v>54082</v>
      </c>
      <c r="R609" s="262">
        <v>38790</v>
      </c>
      <c r="S609" s="262">
        <v>59855</v>
      </c>
      <c r="T609" s="262">
        <v>45641</v>
      </c>
      <c r="U609" s="262">
        <v>37429.093912909651</v>
      </c>
      <c r="V609" s="262">
        <v>21567</v>
      </c>
      <c r="W609" s="262">
        <v>57041</v>
      </c>
      <c r="X609" s="262">
        <v>19856</v>
      </c>
      <c r="Y609" s="262">
        <f t="shared" si="10"/>
        <v>469958.09391290962</v>
      </c>
    </row>
    <row r="610" spans="1:25" s="261" customFormat="1" ht="11.25" customHeight="1">
      <c r="A610" s="261">
        <v>2014</v>
      </c>
      <c r="B610" s="261" t="s">
        <v>574</v>
      </c>
      <c r="C610" s="261" t="s">
        <v>32</v>
      </c>
      <c r="D610" s="9" t="s">
        <v>152</v>
      </c>
      <c r="E610" s="261" t="s">
        <v>153</v>
      </c>
      <c r="F610" s="261" t="s">
        <v>151</v>
      </c>
      <c r="G610" s="9" t="s">
        <v>442</v>
      </c>
      <c r="H610" s="9" t="s">
        <v>152</v>
      </c>
      <c r="I610" s="9" t="s">
        <v>153</v>
      </c>
      <c r="J610" s="9" t="s">
        <v>153</v>
      </c>
      <c r="L610" s="261" t="s">
        <v>380</v>
      </c>
      <c r="M610" s="262">
        <v>4464</v>
      </c>
      <c r="N610" s="262">
        <v>5780</v>
      </c>
      <c r="O610" s="262">
        <v>6483</v>
      </c>
      <c r="P610" s="262">
        <v>8441.7929226252636</v>
      </c>
      <c r="Q610" s="262">
        <v>7661</v>
      </c>
      <c r="R610" s="262">
        <v>12285</v>
      </c>
      <c r="S610" s="262">
        <v>8473</v>
      </c>
      <c r="T610" s="262">
        <v>8276</v>
      </c>
      <c r="U610" s="262">
        <v>6592</v>
      </c>
      <c r="V610" s="262">
        <v>4773</v>
      </c>
      <c r="W610" s="262">
        <v>4865</v>
      </c>
      <c r="X610" s="262">
        <v>4835</v>
      </c>
      <c r="Y610" s="262">
        <f t="shared" si="10"/>
        <v>82928.79292262526</v>
      </c>
    </row>
    <row r="611" spans="1:25" s="261" customFormat="1" ht="11.25" customHeight="1">
      <c r="A611" s="261">
        <v>2014</v>
      </c>
      <c r="B611" s="261" t="s">
        <v>574</v>
      </c>
      <c r="C611" s="261" t="s">
        <v>32</v>
      </c>
      <c r="D611" s="9" t="s">
        <v>152</v>
      </c>
      <c r="E611" s="261" t="s">
        <v>153</v>
      </c>
      <c r="F611" s="261" t="s">
        <v>151</v>
      </c>
      <c r="G611" s="9" t="s">
        <v>442</v>
      </c>
      <c r="H611" s="9" t="s">
        <v>152</v>
      </c>
      <c r="I611" s="9" t="s">
        <v>153</v>
      </c>
      <c r="J611" s="9" t="s">
        <v>153</v>
      </c>
      <c r="L611" s="261" t="s">
        <v>361</v>
      </c>
      <c r="M611" s="262">
        <v>1328</v>
      </c>
      <c r="N611" s="262">
        <v>1229</v>
      </c>
      <c r="O611" s="262">
        <v>1613</v>
      </c>
      <c r="P611" s="262">
        <v>3366</v>
      </c>
      <c r="Q611" s="262">
        <v>3403</v>
      </c>
      <c r="R611" s="262">
        <v>3147</v>
      </c>
      <c r="S611" s="262">
        <v>3363</v>
      </c>
      <c r="T611" s="262">
        <v>2033</v>
      </c>
      <c r="U611" s="262">
        <v>1091</v>
      </c>
      <c r="V611" s="262">
        <v>1226</v>
      </c>
      <c r="W611" s="262">
        <v>1247</v>
      </c>
      <c r="X611" s="262">
        <v>1491</v>
      </c>
      <c r="Y611" s="262">
        <f t="shared" si="10"/>
        <v>24537</v>
      </c>
    </row>
    <row r="612" spans="1:25" s="261" customFormat="1" ht="11.25" customHeight="1">
      <c r="A612" s="261">
        <v>2014</v>
      </c>
      <c r="B612" s="261" t="s">
        <v>574</v>
      </c>
      <c r="C612" s="261" t="s">
        <v>32</v>
      </c>
      <c r="D612" s="9" t="s">
        <v>152</v>
      </c>
      <c r="E612" s="261" t="s">
        <v>153</v>
      </c>
      <c r="F612" s="261" t="s">
        <v>151</v>
      </c>
      <c r="G612" s="9" t="s">
        <v>442</v>
      </c>
      <c r="H612" s="9" t="s">
        <v>152</v>
      </c>
      <c r="I612" s="9" t="s">
        <v>153</v>
      </c>
      <c r="J612" s="9" t="s">
        <v>153</v>
      </c>
      <c r="L612" s="261" t="s">
        <v>357</v>
      </c>
      <c r="M612" s="262">
        <v>19500</v>
      </c>
      <c r="N612" s="262">
        <v>24000</v>
      </c>
      <c r="O612" s="262">
        <v>41600</v>
      </c>
      <c r="P612" s="262">
        <v>41511</v>
      </c>
      <c r="Q612" s="262">
        <v>3500</v>
      </c>
      <c r="R612" s="262">
        <v>43523</v>
      </c>
      <c r="S612" s="262">
        <v>52000</v>
      </c>
      <c r="T612" s="262">
        <v>49000</v>
      </c>
      <c r="U612" s="262">
        <v>31689</v>
      </c>
      <c r="V612" s="262">
        <v>38082</v>
      </c>
      <c r="W612" s="262">
        <v>31530</v>
      </c>
      <c r="X612" s="262">
        <v>31484</v>
      </c>
      <c r="Y612" s="262">
        <f t="shared" si="10"/>
        <v>407419</v>
      </c>
    </row>
    <row r="613" spans="1:25" s="261" customFormat="1" ht="11.25" customHeight="1">
      <c r="A613" s="261">
        <v>2014</v>
      </c>
      <c r="B613" s="261" t="s">
        <v>574</v>
      </c>
      <c r="C613" s="261" t="s">
        <v>32</v>
      </c>
      <c r="D613" s="9" t="s">
        <v>152</v>
      </c>
      <c r="E613" s="261" t="s">
        <v>153</v>
      </c>
      <c r="F613" s="261" t="s">
        <v>151</v>
      </c>
      <c r="G613" s="9" t="s">
        <v>442</v>
      </c>
      <c r="H613" s="9" t="s">
        <v>152</v>
      </c>
      <c r="I613" s="9" t="s">
        <v>153</v>
      </c>
      <c r="J613" s="9" t="s">
        <v>153</v>
      </c>
      <c r="L613" s="261" t="s">
        <v>345</v>
      </c>
      <c r="M613" s="262">
        <v>1164.4286588743623</v>
      </c>
      <c r="N613" s="262">
        <v>1430</v>
      </c>
      <c r="O613" s="262">
        <v>1466.1291540715586</v>
      </c>
      <c r="P613" s="262">
        <v>1834.2842429491716</v>
      </c>
      <c r="Q613" s="262">
        <v>2934.3313435461318</v>
      </c>
      <c r="R613" s="262">
        <v>3354.1661391300581</v>
      </c>
      <c r="S613" s="262">
        <v>2935.0153244751414</v>
      </c>
      <c r="T613" s="262">
        <v>2511.8992400152579</v>
      </c>
      <c r="U613" s="262">
        <v>1599.3186132354654</v>
      </c>
      <c r="V613" s="262">
        <v>1311.3336624082501</v>
      </c>
      <c r="W613" s="262">
        <v>1284.4487967596733</v>
      </c>
      <c r="X613" s="262">
        <v>1384.9260966902511</v>
      </c>
      <c r="Y613" s="262">
        <f t="shared" si="10"/>
        <v>23210.28127215532</v>
      </c>
    </row>
    <row r="614" spans="1:25" s="261" customFormat="1" ht="11.25" customHeight="1">
      <c r="A614" s="261">
        <v>2014</v>
      </c>
      <c r="B614" s="261" t="s">
        <v>574</v>
      </c>
      <c r="C614" s="261" t="s">
        <v>32</v>
      </c>
      <c r="D614" s="9" t="s">
        <v>152</v>
      </c>
      <c r="E614" s="261" t="s">
        <v>153</v>
      </c>
      <c r="F614" s="261" t="s">
        <v>151</v>
      </c>
      <c r="G614" s="9" t="s">
        <v>442</v>
      </c>
      <c r="H614" s="9" t="s">
        <v>152</v>
      </c>
      <c r="I614" s="9" t="s">
        <v>153</v>
      </c>
      <c r="J614" s="9" t="s">
        <v>153</v>
      </c>
      <c r="L614" s="261" t="s">
        <v>369</v>
      </c>
      <c r="M614" s="262">
        <v>47236</v>
      </c>
      <c r="N614" s="262">
        <v>56135</v>
      </c>
      <c r="O614" s="262">
        <v>45533</v>
      </c>
      <c r="P614" s="262">
        <v>76258</v>
      </c>
      <c r="Q614" s="262">
        <v>135410</v>
      </c>
      <c r="R614" s="262">
        <v>117324</v>
      </c>
      <c r="S614" s="262">
        <v>148916</v>
      </c>
      <c r="T614" s="262">
        <v>95043</v>
      </c>
      <c r="U614" s="262">
        <v>46151</v>
      </c>
      <c r="V614" s="262">
        <v>40904</v>
      </c>
      <c r="W614" s="262">
        <v>58476</v>
      </c>
      <c r="X614" s="262">
        <v>38137</v>
      </c>
      <c r="Y614" s="262">
        <f t="shared" si="10"/>
        <v>905523</v>
      </c>
    </row>
    <row r="615" spans="1:25" s="261" customFormat="1" ht="11.25" customHeight="1">
      <c r="A615" s="261">
        <v>2014</v>
      </c>
      <c r="B615" s="261" t="s">
        <v>574</v>
      </c>
      <c r="C615" s="261" t="s">
        <v>32</v>
      </c>
      <c r="D615" s="9" t="s">
        <v>152</v>
      </c>
      <c r="E615" s="261" t="s">
        <v>153</v>
      </c>
      <c r="F615" s="261" t="s">
        <v>151</v>
      </c>
      <c r="G615" s="9" t="s">
        <v>442</v>
      </c>
      <c r="H615" s="9" t="s">
        <v>152</v>
      </c>
      <c r="I615" s="9" t="s">
        <v>153</v>
      </c>
      <c r="J615" s="9" t="s">
        <v>153</v>
      </c>
      <c r="L615" s="261" t="s">
        <v>225</v>
      </c>
      <c r="M615" s="262">
        <v>823.40021894481924</v>
      </c>
      <c r="N615" s="262">
        <v>944.21550888193315</v>
      </c>
      <c r="O615" s="262">
        <v>1034.2809126031966</v>
      </c>
      <c r="P615" s="262">
        <v>1132.6251205109645</v>
      </c>
      <c r="Q615" s="262">
        <v>1553.1708346564099</v>
      </c>
      <c r="R615" s="262">
        <v>1759.9367821192409</v>
      </c>
      <c r="S615" s="262">
        <v>1607.7259146689651</v>
      </c>
      <c r="T615" s="262">
        <v>1498.3286540545196</v>
      </c>
      <c r="U615" s="262">
        <v>1164.2151667830287</v>
      </c>
      <c r="V615" s="262">
        <v>1021.9803433858237</v>
      </c>
      <c r="W615" s="262">
        <v>990.8704415068953</v>
      </c>
      <c r="X615" s="262">
        <v>1056.7740516935423</v>
      </c>
      <c r="Y615" s="262">
        <f t="shared" si="10"/>
        <v>14587.52394980934</v>
      </c>
    </row>
    <row r="616" spans="1:25" s="261" customFormat="1" ht="11.25" customHeight="1">
      <c r="A616" s="261">
        <v>2014</v>
      </c>
      <c r="B616" s="261" t="s">
        <v>574</v>
      </c>
      <c r="C616" s="261" t="s">
        <v>32</v>
      </c>
      <c r="D616" s="9" t="s">
        <v>152</v>
      </c>
      <c r="E616" s="261" t="s">
        <v>153</v>
      </c>
      <c r="F616" s="261" t="s">
        <v>151</v>
      </c>
      <c r="G616" s="9" t="s">
        <v>442</v>
      </c>
      <c r="H616" s="9" t="s">
        <v>152</v>
      </c>
      <c r="I616" s="9" t="s">
        <v>153</v>
      </c>
      <c r="J616" s="9" t="s">
        <v>153</v>
      </c>
      <c r="L616" s="261" t="s">
        <v>351</v>
      </c>
      <c r="M616" s="262">
        <v>1683.8628011338865</v>
      </c>
      <c r="N616" s="262">
        <v>1900.4604245540256</v>
      </c>
      <c r="O616" s="262">
        <v>2149.3066765318404</v>
      </c>
      <c r="P616" s="262">
        <v>2688.2879865635641</v>
      </c>
      <c r="Q616" s="262">
        <v>4335.5992505053337</v>
      </c>
      <c r="R616" s="262">
        <v>4955.9327087036982</v>
      </c>
      <c r="S616" s="262">
        <v>4450.2861993567913</v>
      </c>
      <c r="T616" s="262">
        <v>3836.3712298428686</v>
      </c>
      <c r="U616" s="262">
        <v>2490.7287877695298</v>
      </c>
      <c r="V616" s="262">
        <v>2022.5429007985574</v>
      </c>
      <c r="W616" s="262">
        <v>1965.2483538177312</v>
      </c>
      <c r="X616" s="262">
        <v>2098.6139576649457</v>
      </c>
      <c r="Y616" s="262">
        <f t="shared" si="10"/>
        <v>34577.241277242778</v>
      </c>
    </row>
    <row r="617" spans="1:25" s="261" customFormat="1" ht="11.25" customHeight="1">
      <c r="A617" s="261">
        <v>2014</v>
      </c>
      <c r="B617" s="261" t="s">
        <v>574</v>
      </c>
      <c r="C617" s="261" t="s">
        <v>32</v>
      </c>
      <c r="D617" s="9" t="s">
        <v>152</v>
      </c>
      <c r="E617" s="261" t="s">
        <v>153</v>
      </c>
      <c r="F617" s="261" t="s">
        <v>151</v>
      </c>
      <c r="G617" s="9" t="s">
        <v>442</v>
      </c>
      <c r="H617" s="9" t="s">
        <v>152</v>
      </c>
      <c r="I617" s="9" t="s">
        <v>153</v>
      </c>
      <c r="J617" s="9" t="s">
        <v>153</v>
      </c>
      <c r="L617" s="261" t="s">
        <v>353</v>
      </c>
      <c r="M617" s="262">
        <v>337.74312717357554</v>
      </c>
      <c r="N617" s="262">
        <v>371.99799193128507</v>
      </c>
      <c r="O617" s="262">
        <v>421.06223664995809</v>
      </c>
      <c r="P617" s="262">
        <v>498.67532372400609</v>
      </c>
      <c r="Q617" s="262">
        <v>747.9837503968015</v>
      </c>
      <c r="R617" s="262">
        <v>852.29937612998901</v>
      </c>
      <c r="S617" s="262">
        <v>742.97754772715621</v>
      </c>
      <c r="T617" s="262">
        <v>653.69928716232721</v>
      </c>
      <c r="U617" s="262">
        <v>446.75890686091992</v>
      </c>
      <c r="V617" s="262">
        <v>380.63397628723584</v>
      </c>
      <c r="W617" s="262">
        <v>373.09505747067647</v>
      </c>
      <c r="X617" s="262">
        <v>402.87716181492681</v>
      </c>
      <c r="Y617" s="262">
        <f t="shared" si="10"/>
        <v>6229.8037433288573</v>
      </c>
    </row>
    <row r="618" spans="1:25" s="261" customFormat="1" ht="11.25" customHeight="1">
      <c r="A618" s="261">
        <v>2014</v>
      </c>
      <c r="B618" s="261" t="s">
        <v>574</v>
      </c>
      <c r="C618" s="261" t="s">
        <v>32</v>
      </c>
      <c r="D618" s="9" t="s">
        <v>152</v>
      </c>
      <c r="E618" s="261" t="s">
        <v>153</v>
      </c>
      <c r="F618" s="261" t="s">
        <v>151</v>
      </c>
      <c r="G618" s="9" t="s">
        <v>442</v>
      </c>
      <c r="H618" s="9" t="s">
        <v>152</v>
      </c>
      <c r="I618" s="9" t="s">
        <v>153</v>
      </c>
      <c r="J618" s="9" t="s">
        <v>153</v>
      </c>
      <c r="L618" s="261" t="s">
        <v>362</v>
      </c>
      <c r="M618" s="262">
        <v>822</v>
      </c>
      <c r="N618" s="262">
        <v>748</v>
      </c>
      <c r="O618" s="262">
        <v>714</v>
      </c>
      <c r="P618" s="262">
        <v>1665</v>
      </c>
      <c r="Q618" s="262">
        <v>3585</v>
      </c>
      <c r="R618" s="262">
        <v>2153</v>
      </c>
      <c r="S618" s="262">
        <v>3512</v>
      </c>
      <c r="T618" s="262">
        <v>1801</v>
      </c>
      <c r="U618" s="262">
        <v>851</v>
      </c>
      <c r="V618" s="262">
        <v>399</v>
      </c>
      <c r="W618" s="262">
        <v>540</v>
      </c>
      <c r="X618" s="262">
        <v>1026</v>
      </c>
      <c r="Y618" s="262">
        <f t="shared" si="10"/>
        <v>17816</v>
      </c>
    </row>
    <row r="619" spans="1:25" s="261" customFormat="1" ht="11.25" customHeight="1">
      <c r="A619" s="261">
        <v>2014</v>
      </c>
      <c r="B619" s="261" t="s">
        <v>574</v>
      </c>
      <c r="C619" s="261" t="s">
        <v>32</v>
      </c>
      <c r="D619" s="9" t="s">
        <v>152</v>
      </c>
      <c r="E619" s="261" t="s">
        <v>153</v>
      </c>
      <c r="F619" s="261" t="s">
        <v>151</v>
      </c>
      <c r="G619" s="9" t="s">
        <v>442</v>
      </c>
      <c r="H619" s="9" t="s">
        <v>152</v>
      </c>
      <c r="I619" s="9" t="s">
        <v>153</v>
      </c>
      <c r="J619" s="9" t="s">
        <v>153</v>
      </c>
      <c r="L619" s="261" t="s">
        <v>378</v>
      </c>
      <c r="M619" s="262">
        <v>7224</v>
      </c>
      <c r="N619" s="262">
        <v>6601</v>
      </c>
      <c r="O619" s="262">
        <v>6340.8540715845566</v>
      </c>
      <c r="P619" s="262">
        <v>11096</v>
      </c>
      <c r="Q619" s="262">
        <v>12049</v>
      </c>
      <c r="R619" s="262">
        <v>14083</v>
      </c>
      <c r="S619" s="262">
        <v>17122</v>
      </c>
      <c r="T619" s="262">
        <v>8768</v>
      </c>
      <c r="U619" s="262">
        <v>5266</v>
      </c>
      <c r="V619" s="262">
        <v>4338</v>
      </c>
      <c r="W619" s="262">
        <v>5374.2651954041703</v>
      </c>
      <c r="X619" s="262">
        <v>5820.8687245428446</v>
      </c>
      <c r="Y619" s="262">
        <f t="shared" si="10"/>
        <v>104082.98799153157</v>
      </c>
    </row>
    <row r="620" spans="1:25" s="261" customFormat="1" ht="11.25" customHeight="1">
      <c r="A620" s="261">
        <v>2014</v>
      </c>
      <c r="B620" s="261" t="s">
        <v>574</v>
      </c>
      <c r="C620" s="261" t="s">
        <v>32</v>
      </c>
      <c r="D620" s="9" t="s">
        <v>152</v>
      </c>
      <c r="E620" s="261" t="s">
        <v>153</v>
      </c>
      <c r="F620" s="261" t="s">
        <v>151</v>
      </c>
      <c r="G620" s="9" t="s">
        <v>442</v>
      </c>
      <c r="H620" s="9" t="s">
        <v>152</v>
      </c>
      <c r="I620" s="9" t="s">
        <v>153</v>
      </c>
      <c r="J620" s="9" t="s">
        <v>153</v>
      </c>
      <c r="L620" s="261" t="s">
        <v>154</v>
      </c>
      <c r="M620" s="262">
        <v>355</v>
      </c>
      <c r="N620" s="262">
        <v>596</v>
      </c>
      <c r="O620" s="262">
        <v>1044</v>
      </c>
      <c r="P620" s="262">
        <v>1108</v>
      </c>
      <c r="Q620" s="262">
        <v>1619</v>
      </c>
      <c r="R620" s="262">
        <v>2465</v>
      </c>
      <c r="S620" s="262">
        <v>2076</v>
      </c>
      <c r="T620" s="262">
        <v>741</v>
      </c>
      <c r="U620" s="262">
        <v>514</v>
      </c>
      <c r="V620" s="262">
        <v>427</v>
      </c>
      <c r="W620" s="262">
        <v>515</v>
      </c>
      <c r="X620" s="262">
        <v>413</v>
      </c>
      <c r="Y620" s="262">
        <f t="shared" si="10"/>
        <v>11873</v>
      </c>
    </row>
    <row r="621" spans="1:25" s="261" customFormat="1" ht="11.25" customHeight="1">
      <c r="A621" s="261">
        <v>2014</v>
      </c>
      <c r="B621" s="261" t="s">
        <v>574</v>
      </c>
      <c r="C621" s="261" t="s">
        <v>32</v>
      </c>
      <c r="D621" s="9" t="s">
        <v>152</v>
      </c>
      <c r="E621" s="261" t="s">
        <v>153</v>
      </c>
      <c r="F621" s="261" t="s">
        <v>151</v>
      </c>
      <c r="G621" s="9" t="s">
        <v>442</v>
      </c>
      <c r="H621" s="9" t="s">
        <v>152</v>
      </c>
      <c r="I621" s="9" t="s">
        <v>153</v>
      </c>
      <c r="J621" s="9" t="s">
        <v>153</v>
      </c>
      <c r="L621" s="261" t="s">
        <v>382</v>
      </c>
      <c r="M621" s="262">
        <v>2724.4396503733278</v>
      </c>
      <c r="N621" s="262">
        <v>3098.0128472587744</v>
      </c>
      <c r="O621" s="262">
        <v>3457.9364109738008</v>
      </c>
      <c r="P621" s="262">
        <v>4115.0240492274124</v>
      </c>
      <c r="Q621" s="262">
        <v>3800</v>
      </c>
      <c r="R621" s="262">
        <v>5083</v>
      </c>
      <c r="S621" s="262">
        <v>7479</v>
      </c>
      <c r="T621" s="262">
        <v>5730.2006573022036</v>
      </c>
      <c r="U621" s="262">
        <v>3973.4337461758355</v>
      </c>
      <c r="V621" s="262">
        <v>2546</v>
      </c>
      <c r="W621" s="262">
        <v>3226.9105885137701</v>
      </c>
      <c r="X621" s="262">
        <v>3442.6786401537729</v>
      </c>
      <c r="Y621" s="262">
        <f t="shared" si="10"/>
        <v>48676.636589978894</v>
      </c>
    </row>
    <row r="622" spans="1:25" s="261" customFormat="1" ht="11.25" customHeight="1">
      <c r="A622" s="261">
        <v>2014</v>
      </c>
      <c r="B622" s="261" t="s">
        <v>574</v>
      </c>
      <c r="C622" s="261" t="s">
        <v>32</v>
      </c>
      <c r="D622" s="9" t="s">
        <v>152</v>
      </c>
      <c r="E622" s="261" t="s">
        <v>153</v>
      </c>
      <c r="F622" s="261" t="s">
        <v>151</v>
      </c>
      <c r="G622" s="9" t="s">
        <v>442</v>
      </c>
      <c r="H622" s="9" t="s">
        <v>152</v>
      </c>
      <c r="I622" s="9" t="s">
        <v>153</v>
      </c>
      <c r="J622" s="9" t="s">
        <v>153</v>
      </c>
      <c r="L622" s="261" t="s">
        <v>349</v>
      </c>
      <c r="M622" s="262">
        <v>2250.0255191998654</v>
      </c>
      <c r="N622" s="262">
        <v>2271.843622787298</v>
      </c>
      <c r="O622" s="262">
        <v>2806.6628463174716</v>
      </c>
      <c r="P622" s="262">
        <v>4115.754229658959</v>
      </c>
      <c r="Q622" s="262">
        <v>7508.6625354207908</v>
      </c>
      <c r="R622" s="262">
        <v>8640.7659947668853</v>
      </c>
      <c r="S622" s="262">
        <v>7169.2166182887249</v>
      </c>
      <c r="T622" s="262">
        <v>5644.3862303947235</v>
      </c>
      <c r="U622" s="262">
        <v>2748.9565078703149</v>
      </c>
      <c r="V622" s="262">
        <v>2025.9068401898305</v>
      </c>
      <c r="W622" s="262">
        <v>2041.6458139352189</v>
      </c>
      <c r="X622" s="262">
        <v>2269.5875574971283</v>
      </c>
      <c r="Y622" s="262">
        <f t="shared" si="10"/>
        <v>49493.414316327209</v>
      </c>
    </row>
    <row r="623" spans="1:25" s="261" customFormat="1" ht="11.25" customHeight="1">
      <c r="A623" s="261">
        <v>2014</v>
      </c>
      <c r="B623" s="261" t="s">
        <v>574</v>
      </c>
      <c r="C623" s="261" t="s">
        <v>32</v>
      </c>
      <c r="D623" s="9" t="s">
        <v>152</v>
      </c>
      <c r="E623" s="261" t="s">
        <v>153</v>
      </c>
      <c r="F623" s="261" t="s">
        <v>151</v>
      </c>
      <c r="G623" s="9" t="s">
        <v>442</v>
      </c>
      <c r="H623" s="9" t="s">
        <v>152</v>
      </c>
      <c r="I623" s="9" t="s">
        <v>153</v>
      </c>
      <c r="J623" s="9" t="s">
        <v>153</v>
      </c>
      <c r="L623" s="261" t="s">
        <v>396</v>
      </c>
      <c r="M623" s="262">
        <v>66.379745646126736</v>
      </c>
      <c r="N623" s="262">
        <v>71.560893249416694</v>
      </c>
      <c r="O623" s="262">
        <v>85.066118061861957</v>
      </c>
      <c r="P623" s="262">
        <v>121.23095567641123</v>
      </c>
      <c r="Q623" s="262">
        <v>219.23745434850846</v>
      </c>
      <c r="R623" s="262">
        <v>252.02667886809172</v>
      </c>
      <c r="S623" s="262">
        <v>219.2237760075011</v>
      </c>
      <c r="T623" s="262">
        <v>177.56558945609055</v>
      </c>
      <c r="U623" s="262">
        <v>95.809503529578635</v>
      </c>
      <c r="V623" s="262">
        <v>71.509156222269169</v>
      </c>
      <c r="W623" s="262">
        <v>70.292176822904068</v>
      </c>
      <c r="X623" s="262">
        <v>75.976970068755733</v>
      </c>
      <c r="Y623" s="262">
        <f t="shared" si="10"/>
        <v>1525.879017957516</v>
      </c>
    </row>
    <row r="624" spans="1:25" s="261" customFormat="1" ht="11.25" customHeight="1">
      <c r="A624" s="261">
        <v>2014</v>
      </c>
      <c r="B624" s="261" t="s">
        <v>574</v>
      </c>
      <c r="C624" s="261" t="s">
        <v>32</v>
      </c>
      <c r="D624" s="9" t="s">
        <v>152</v>
      </c>
      <c r="E624" s="261" t="s">
        <v>153</v>
      </c>
      <c r="F624" s="261" t="s">
        <v>151</v>
      </c>
      <c r="G624" s="9" t="s">
        <v>442</v>
      </c>
      <c r="H624" s="9" t="s">
        <v>152</v>
      </c>
      <c r="I624" s="9" t="s">
        <v>153</v>
      </c>
      <c r="J624" s="9" t="s">
        <v>153</v>
      </c>
      <c r="L624" s="261" t="s">
        <v>359</v>
      </c>
      <c r="M624" s="262">
        <v>5525</v>
      </c>
      <c r="N624" s="262">
        <v>2851</v>
      </c>
      <c r="O624" s="262">
        <v>3150</v>
      </c>
      <c r="P624" s="262">
        <v>5047</v>
      </c>
      <c r="Q624" s="262">
        <v>5734</v>
      </c>
      <c r="R624" s="262">
        <v>6764</v>
      </c>
      <c r="S624" s="262">
        <v>4131</v>
      </c>
      <c r="T624" s="262">
        <v>3623</v>
      </c>
      <c r="U624" s="262">
        <v>2106</v>
      </c>
      <c r="V624" s="262">
        <v>2339</v>
      </c>
      <c r="W624" s="262">
        <v>2885</v>
      </c>
      <c r="X624" s="262">
        <v>3657</v>
      </c>
      <c r="Y624" s="262">
        <f t="shared" si="10"/>
        <v>47812</v>
      </c>
    </row>
    <row r="625" spans="1:25" s="261" customFormat="1" ht="11.25" customHeight="1">
      <c r="A625" s="261">
        <v>2014</v>
      </c>
      <c r="B625" s="261" t="s">
        <v>574</v>
      </c>
      <c r="C625" s="261" t="s">
        <v>32</v>
      </c>
      <c r="D625" s="9" t="s">
        <v>152</v>
      </c>
      <c r="E625" s="261" t="s">
        <v>153</v>
      </c>
      <c r="F625" s="261" t="s">
        <v>151</v>
      </c>
      <c r="G625" s="9" t="s">
        <v>442</v>
      </c>
      <c r="H625" s="9" t="s">
        <v>152</v>
      </c>
      <c r="I625" s="9" t="s">
        <v>153</v>
      </c>
      <c r="J625" s="9" t="s">
        <v>153</v>
      </c>
      <c r="L625" s="261" t="s">
        <v>367</v>
      </c>
      <c r="M625" s="262">
        <v>44621</v>
      </c>
      <c r="N625" s="262">
        <v>29850</v>
      </c>
      <c r="O625" s="262">
        <v>29660</v>
      </c>
      <c r="P625" s="262">
        <v>64727</v>
      </c>
      <c r="Q625" s="262">
        <v>56703</v>
      </c>
      <c r="R625" s="262">
        <v>59461</v>
      </c>
      <c r="S625" s="262">
        <v>71910</v>
      </c>
      <c r="T625" s="262">
        <v>66840</v>
      </c>
      <c r="U625" s="262">
        <v>40567</v>
      </c>
      <c r="V625" s="262">
        <v>40069</v>
      </c>
      <c r="W625" s="262">
        <v>23720</v>
      </c>
      <c r="X625" s="262">
        <v>34847</v>
      </c>
      <c r="Y625" s="262">
        <f t="shared" si="10"/>
        <v>562975</v>
      </c>
    </row>
    <row r="626" spans="1:25" s="261" customFormat="1" ht="11.25" customHeight="1">
      <c r="A626" s="261">
        <v>2014</v>
      </c>
      <c r="B626" s="261" t="s">
        <v>574</v>
      </c>
      <c r="C626" s="261" t="s">
        <v>32</v>
      </c>
      <c r="D626" s="9" t="s">
        <v>152</v>
      </c>
      <c r="E626" s="261" t="s">
        <v>153</v>
      </c>
      <c r="F626" s="261" t="s">
        <v>151</v>
      </c>
      <c r="G626" s="9" t="s">
        <v>442</v>
      </c>
      <c r="H626" s="9" t="s">
        <v>152</v>
      </c>
      <c r="I626" s="9" t="s">
        <v>153</v>
      </c>
      <c r="J626" s="9" t="s">
        <v>153</v>
      </c>
      <c r="L626" s="261" t="s">
        <v>381</v>
      </c>
      <c r="M626" s="262">
        <v>3238</v>
      </c>
      <c r="N626" s="262">
        <v>3577</v>
      </c>
      <c r="O626" s="262">
        <v>4276</v>
      </c>
      <c r="P626" s="262">
        <v>6860</v>
      </c>
      <c r="Q626" s="262">
        <v>5943</v>
      </c>
      <c r="R626" s="262">
        <v>9341.6765412042078</v>
      </c>
      <c r="S626" s="262">
        <v>8399.3689703193595</v>
      </c>
      <c r="T626" s="262">
        <v>7441.7828664423214</v>
      </c>
      <c r="U626" s="262">
        <v>5173.8257402180643</v>
      </c>
      <c r="V626" s="262">
        <v>4351.5546861469129</v>
      </c>
      <c r="W626" s="262">
        <v>4229.6345209761903</v>
      </c>
      <c r="X626" s="262">
        <v>4521.1586975107184</v>
      </c>
      <c r="Y626" s="262">
        <f t="shared" si="10"/>
        <v>67353.002022817775</v>
      </c>
    </row>
    <row r="627" spans="1:25" s="261" customFormat="1" ht="11.25" customHeight="1">
      <c r="A627" s="261">
        <v>2014</v>
      </c>
      <c r="B627" s="261" t="s">
        <v>574</v>
      </c>
      <c r="C627" s="261" t="s">
        <v>32</v>
      </c>
      <c r="D627" s="9" t="s">
        <v>152</v>
      </c>
      <c r="E627" s="261" t="s">
        <v>153</v>
      </c>
      <c r="F627" s="261" t="s">
        <v>151</v>
      </c>
      <c r="G627" s="9" t="s">
        <v>442</v>
      </c>
      <c r="H627" s="9" t="s">
        <v>152</v>
      </c>
      <c r="I627" s="9" t="s">
        <v>153</v>
      </c>
      <c r="J627" s="9" t="s">
        <v>153</v>
      </c>
      <c r="L627" s="261" t="s">
        <v>366</v>
      </c>
      <c r="M627" s="262">
        <v>16686</v>
      </c>
      <c r="N627" s="262">
        <v>15015</v>
      </c>
      <c r="O627" s="262">
        <v>17083</v>
      </c>
      <c r="P627" s="262">
        <v>20938</v>
      </c>
      <c r="Q627" s="262">
        <v>29728</v>
      </c>
      <c r="R627" s="262">
        <v>22455</v>
      </c>
      <c r="S627" s="262">
        <v>23098</v>
      </c>
      <c r="T627" s="262">
        <v>21083</v>
      </c>
      <c r="U627" s="262">
        <v>11615</v>
      </c>
      <c r="V627" s="262">
        <v>14334</v>
      </c>
      <c r="W627" s="262">
        <v>16076.55413150666</v>
      </c>
      <c r="X627" s="262">
        <v>17289.550433084758</v>
      </c>
      <c r="Y627" s="262">
        <f t="shared" si="10"/>
        <v>225401.1045645914</v>
      </c>
    </row>
    <row r="628" spans="1:25" s="261" customFormat="1" ht="11.25" customHeight="1">
      <c r="A628" s="261">
        <v>2014</v>
      </c>
      <c r="B628" s="261" t="s">
        <v>574</v>
      </c>
      <c r="C628" s="261" t="s">
        <v>32</v>
      </c>
      <c r="D628" s="9" t="s">
        <v>152</v>
      </c>
      <c r="E628" s="261" t="s">
        <v>153</v>
      </c>
      <c r="F628" s="261" t="s">
        <v>151</v>
      </c>
      <c r="G628" s="9" t="s">
        <v>442</v>
      </c>
      <c r="H628" s="9" t="s">
        <v>152</v>
      </c>
      <c r="I628" s="9" t="s">
        <v>153</v>
      </c>
      <c r="J628" s="9" t="s">
        <v>153</v>
      </c>
      <c r="L628" s="261" t="s">
        <v>393</v>
      </c>
      <c r="M628" s="262">
        <v>22947</v>
      </c>
      <c r="N628" s="262">
        <v>31720</v>
      </c>
      <c r="O628" s="262">
        <v>24878</v>
      </c>
      <c r="P628" s="262">
        <v>38672</v>
      </c>
      <c r="Q628" s="262">
        <v>32697</v>
      </c>
      <c r="R628" s="262">
        <v>35637</v>
      </c>
      <c r="S628" s="262">
        <v>43554</v>
      </c>
      <c r="T628" s="262">
        <v>31285</v>
      </c>
      <c r="U628" s="262">
        <v>10760</v>
      </c>
      <c r="V628" s="262">
        <v>11352</v>
      </c>
      <c r="W628" s="262">
        <v>7087</v>
      </c>
      <c r="X628" s="262">
        <v>9987</v>
      </c>
      <c r="Y628" s="262">
        <f t="shared" si="10"/>
        <v>300576</v>
      </c>
    </row>
    <row r="629" spans="1:25" s="261" customFormat="1" ht="11.25" customHeight="1">
      <c r="A629" s="261">
        <v>2014</v>
      </c>
      <c r="B629" s="261" t="s">
        <v>574</v>
      </c>
      <c r="C629" s="261" t="s">
        <v>32</v>
      </c>
      <c r="D629" s="9" t="s">
        <v>152</v>
      </c>
      <c r="E629" s="261" t="s">
        <v>153</v>
      </c>
      <c r="F629" s="261" t="s">
        <v>151</v>
      </c>
      <c r="G629" s="9" t="s">
        <v>442</v>
      </c>
      <c r="H629" s="9" t="s">
        <v>152</v>
      </c>
      <c r="I629" s="9" t="s">
        <v>153</v>
      </c>
      <c r="J629" s="9" t="s">
        <v>153</v>
      </c>
      <c r="L629" s="261" t="s">
        <v>355</v>
      </c>
      <c r="M629" s="262">
        <v>5795</v>
      </c>
      <c r="N629" s="262">
        <v>3916</v>
      </c>
      <c r="O629" s="262">
        <v>5740.6150025085253</v>
      </c>
      <c r="P629" s="262">
        <v>7545</v>
      </c>
      <c r="Q629" s="262">
        <v>10363</v>
      </c>
      <c r="R629" s="262">
        <v>12207.173336802251</v>
      </c>
      <c r="S629" s="262">
        <v>10638</v>
      </c>
      <c r="T629" s="262">
        <v>9681.2922512005007</v>
      </c>
      <c r="U629" s="262">
        <v>7436</v>
      </c>
      <c r="V629" s="262">
        <v>5488.305603979994</v>
      </c>
      <c r="W629" s="262">
        <v>3662</v>
      </c>
      <c r="X629" s="262">
        <v>3600</v>
      </c>
      <c r="Y629" s="262">
        <f t="shared" si="10"/>
        <v>86072.386194491279</v>
      </c>
    </row>
    <row r="630" spans="1:25" s="261" customFormat="1" ht="11.25" customHeight="1">
      <c r="A630" s="261">
        <v>2014</v>
      </c>
      <c r="B630" s="261" t="s">
        <v>574</v>
      </c>
      <c r="C630" s="261" t="s">
        <v>32</v>
      </c>
      <c r="D630" s="9" t="s">
        <v>152</v>
      </c>
      <c r="E630" s="261" t="s">
        <v>153</v>
      </c>
      <c r="F630" s="261" t="s">
        <v>151</v>
      </c>
      <c r="G630" s="9" t="s">
        <v>442</v>
      </c>
      <c r="H630" s="9" t="s">
        <v>152</v>
      </c>
      <c r="I630" s="9" t="s">
        <v>153</v>
      </c>
      <c r="J630" s="9" t="s">
        <v>153</v>
      </c>
      <c r="L630" s="261" t="s">
        <v>226</v>
      </c>
      <c r="M630" s="262">
        <v>102.03176403017582</v>
      </c>
      <c r="N630" s="262">
        <v>90.339508468130973</v>
      </c>
      <c r="O630" s="262">
        <v>123.85833502606029</v>
      </c>
      <c r="P630" s="262">
        <v>209.0427983906317</v>
      </c>
      <c r="Q630" s="262">
        <v>414.35702204983829</v>
      </c>
      <c r="R630" s="262">
        <v>478.80745670612487</v>
      </c>
      <c r="S630" s="262">
        <v>375.15965814307538</v>
      </c>
      <c r="T630" s="262">
        <v>275.01505897307538</v>
      </c>
      <c r="U630" s="262">
        <v>95.853232694612998</v>
      </c>
      <c r="V630" s="262">
        <v>59.727476088932207</v>
      </c>
      <c r="W630" s="262">
        <v>64.847329049064598</v>
      </c>
      <c r="X630" s="262">
        <v>77.595147335702492</v>
      </c>
      <c r="Y630" s="262">
        <f t="shared" si="10"/>
        <v>2366.6347869554252</v>
      </c>
    </row>
    <row r="631" spans="1:25" s="261" customFormat="1" ht="11.25" customHeight="1">
      <c r="A631" s="261">
        <v>2014</v>
      </c>
      <c r="B631" s="261" t="s">
        <v>574</v>
      </c>
      <c r="C631" s="261" t="s">
        <v>32</v>
      </c>
      <c r="D631" s="9" t="s">
        <v>152</v>
      </c>
      <c r="E631" s="261" t="s">
        <v>153</v>
      </c>
      <c r="F631" s="261" t="s">
        <v>151</v>
      </c>
      <c r="G631" s="9" t="s">
        <v>442</v>
      </c>
      <c r="H631" s="9" t="s">
        <v>152</v>
      </c>
      <c r="I631" s="9" t="s">
        <v>153</v>
      </c>
      <c r="J631" s="9" t="s">
        <v>153</v>
      </c>
      <c r="L631" s="261" t="s">
        <v>350</v>
      </c>
      <c r="M631" s="262">
        <v>1449.7234390118765</v>
      </c>
      <c r="N631" s="262">
        <v>1659.0806920128941</v>
      </c>
      <c r="O631" s="262">
        <v>1833.3608167511968</v>
      </c>
      <c r="P631" s="262">
        <v>2099.5693313582979</v>
      </c>
      <c r="Q631" s="262">
        <v>3061.0857205267716</v>
      </c>
      <c r="R631" s="262">
        <v>3480.4883159965375</v>
      </c>
      <c r="S631" s="262">
        <v>3169.6930714059527</v>
      </c>
      <c r="T631" s="262">
        <v>2870.1835938120953</v>
      </c>
      <c r="U631" s="262">
        <v>2098.145233920241</v>
      </c>
      <c r="V631" s="262">
        <v>1793.9133009395564</v>
      </c>
      <c r="W631" s="262">
        <v>1738.9736655841132</v>
      </c>
      <c r="X631" s="262">
        <v>1853.3940769202436</v>
      </c>
      <c r="Y631" s="262">
        <f t="shared" si="10"/>
        <v>27107.611258239776</v>
      </c>
    </row>
    <row r="632" spans="1:25" s="261" customFormat="1" ht="11.25" customHeight="1">
      <c r="A632" s="261">
        <v>2014</v>
      </c>
      <c r="B632" s="261" t="s">
        <v>574</v>
      </c>
      <c r="C632" s="261" t="s">
        <v>32</v>
      </c>
      <c r="D632" s="9" t="s">
        <v>152</v>
      </c>
      <c r="E632" s="261" t="s">
        <v>153</v>
      </c>
      <c r="F632" s="261" t="s">
        <v>151</v>
      </c>
      <c r="G632" s="9" t="s">
        <v>442</v>
      </c>
      <c r="H632" s="9" t="s">
        <v>152</v>
      </c>
      <c r="I632" s="9" t="s">
        <v>153</v>
      </c>
      <c r="J632" s="9" t="s">
        <v>153</v>
      </c>
      <c r="L632" s="261" t="s">
        <v>339</v>
      </c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>
        <f t="shared" si="10"/>
        <v>0</v>
      </c>
    </row>
    <row r="633" spans="1:25" s="261" customFormat="1" ht="11.25" customHeight="1">
      <c r="A633" s="261">
        <v>2014</v>
      </c>
      <c r="B633" s="261" t="s">
        <v>574</v>
      </c>
      <c r="C633" s="261" t="s">
        <v>32</v>
      </c>
      <c r="D633" s="9" t="s">
        <v>152</v>
      </c>
      <c r="E633" s="261" t="s">
        <v>153</v>
      </c>
      <c r="F633" s="261" t="s">
        <v>151</v>
      </c>
      <c r="G633" s="9" t="s">
        <v>442</v>
      </c>
      <c r="H633" s="9" t="s">
        <v>152</v>
      </c>
      <c r="I633" s="9" t="s">
        <v>153</v>
      </c>
      <c r="J633" s="9" t="s">
        <v>153</v>
      </c>
      <c r="L633" s="261" t="s">
        <v>376</v>
      </c>
      <c r="M633" s="262">
        <v>12464.0589320051</v>
      </c>
      <c r="N633" s="262">
        <v>15956</v>
      </c>
      <c r="O633" s="262">
        <v>12919</v>
      </c>
      <c r="P633" s="262">
        <v>18435.76445695091</v>
      </c>
      <c r="Q633" s="262">
        <v>19465</v>
      </c>
      <c r="R633" s="262">
        <v>31620.579503852368</v>
      </c>
      <c r="S633" s="262">
        <v>27338.167636964477</v>
      </c>
      <c r="T633" s="262">
        <v>23940.486459500509</v>
      </c>
      <c r="U633" s="262">
        <v>16172.369526240853</v>
      </c>
      <c r="V633" s="262">
        <v>15952</v>
      </c>
      <c r="W633" s="262">
        <v>12919</v>
      </c>
      <c r="X633" s="262">
        <v>19605</v>
      </c>
      <c r="Y633" s="262">
        <f t="shared" si="10"/>
        <v>226787.42651551421</v>
      </c>
    </row>
    <row r="634" spans="1:25" s="261" customFormat="1" ht="11.25" customHeight="1">
      <c r="A634" s="261">
        <v>2014</v>
      </c>
      <c r="B634" s="261" t="s">
        <v>574</v>
      </c>
      <c r="C634" s="261" t="s">
        <v>32</v>
      </c>
      <c r="D634" s="9" t="s">
        <v>152</v>
      </c>
      <c r="E634" s="261" t="s">
        <v>153</v>
      </c>
      <c r="F634" s="261" t="s">
        <v>151</v>
      </c>
      <c r="G634" s="9" t="s">
        <v>442</v>
      </c>
      <c r="H634" s="9" t="s">
        <v>152</v>
      </c>
      <c r="I634" s="9" t="s">
        <v>153</v>
      </c>
      <c r="J634" s="9" t="s">
        <v>153</v>
      </c>
      <c r="L634" s="261" t="s">
        <v>340</v>
      </c>
      <c r="M634" s="262">
        <v>704</v>
      </c>
      <c r="N634" s="262">
        <v>790</v>
      </c>
      <c r="O634" s="262">
        <v>595</v>
      </c>
      <c r="P634" s="262">
        <v>769</v>
      </c>
      <c r="Q634" s="262">
        <v>461</v>
      </c>
      <c r="R634" s="262">
        <v>1222</v>
      </c>
      <c r="S634" s="262">
        <v>1429</v>
      </c>
      <c r="T634" s="262">
        <v>1053.1740760749842</v>
      </c>
      <c r="U634" s="262">
        <v>540</v>
      </c>
      <c r="V634" s="262">
        <v>847</v>
      </c>
      <c r="W634" s="262">
        <v>328</v>
      </c>
      <c r="X634" s="262">
        <v>1085</v>
      </c>
      <c r="Y634" s="262">
        <f t="shared" si="10"/>
        <v>9823.1740760749854</v>
      </c>
    </row>
    <row r="635" spans="1:25" s="261" customFormat="1" ht="11.25" customHeight="1">
      <c r="A635" s="261">
        <v>2014</v>
      </c>
      <c r="B635" s="261" t="s">
        <v>574</v>
      </c>
      <c r="C635" s="261" t="s">
        <v>32</v>
      </c>
      <c r="D635" s="9" t="s">
        <v>152</v>
      </c>
      <c r="E635" s="261" t="s">
        <v>153</v>
      </c>
      <c r="F635" s="261" t="s">
        <v>151</v>
      </c>
      <c r="G635" s="9" t="s">
        <v>442</v>
      </c>
      <c r="H635" s="9" t="s">
        <v>152</v>
      </c>
      <c r="I635" s="9" t="s">
        <v>153</v>
      </c>
      <c r="J635" s="9" t="s">
        <v>153</v>
      </c>
      <c r="L635" s="261" t="s">
        <v>363</v>
      </c>
      <c r="M635" s="262">
        <v>1819</v>
      </c>
      <c r="N635" s="262">
        <v>1961</v>
      </c>
      <c r="O635" s="262">
        <v>1926</v>
      </c>
      <c r="P635" s="262">
        <v>3623</v>
      </c>
      <c r="Q635" s="262">
        <v>5698</v>
      </c>
      <c r="R635" s="262">
        <v>4342</v>
      </c>
      <c r="S635" s="262">
        <v>4569</v>
      </c>
      <c r="T635" s="262">
        <v>4102</v>
      </c>
      <c r="U635" s="262">
        <v>1526</v>
      </c>
      <c r="V635" s="262">
        <v>1745</v>
      </c>
      <c r="W635" s="262">
        <v>2059</v>
      </c>
      <c r="X635" s="262">
        <v>1798</v>
      </c>
      <c r="Y635" s="262">
        <f t="shared" si="10"/>
        <v>35168</v>
      </c>
    </row>
    <row r="636" spans="1:25" s="261" customFormat="1" ht="11.25" customHeight="1">
      <c r="A636" s="261">
        <v>2014</v>
      </c>
      <c r="B636" s="261" t="s">
        <v>574</v>
      </c>
      <c r="C636" s="261" t="s">
        <v>32</v>
      </c>
      <c r="D636" s="9" t="s">
        <v>152</v>
      </c>
      <c r="E636" s="261" t="s">
        <v>153</v>
      </c>
      <c r="F636" s="261" t="s">
        <v>151</v>
      </c>
      <c r="G636" s="9" t="s">
        <v>442</v>
      </c>
      <c r="H636" s="9" t="s">
        <v>152</v>
      </c>
      <c r="I636" s="9" t="s">
        <v>153</v>
      </c>
      <c r="J636" s="9" t="s">
        <v>153</v>
      </c>
      <c r="L636" s="261" t="s">
        <v>358</v>
      </c>
      <c r="M636" s="262">
        <v>629</v>
      </c>
      <c r="N636" s="262">
        <v>324</v>
      </c>
      <c r="O636" s="262">
        <v>388</v>
      </c>
      <c r="P636" s="262">
        <v>560</v>
      </c>
      <c r="Q636" s="262">
        <v>926</v>
      </c>
      <c r="R636" s="262">
        <v>652</v>
      </c>
      <c r="S636" s="262">
        <v>820</v>
      </c>
      <c r="T636" s="262">
        <v>603</v>
      </c>
      <c r="U636" s="262">
        <v>299</v>
      </c>
      <c r="V636" s="262">
        <v>371</v>
      </c>
      <c r="W636" s="262">
        <v>262</v>
      </c>
      <c r="X636" s="262">
        <v>347</v>
      </c>
      <c r="Y636" s="262">
        <f t="shared" si="10"/>
        <v>6181</v>
      </c>
    </row>
    <row r="637" spans="1:25" s="261" customFormat="1" ht="11.25" customHeight="1">
      <c r="A637" s="261">
        <v>2014</v>
      </c>
      <c r="B637" s="261" t="s">
        <v>574</v>
      </c>
      <c r="C637" s="261" t="s">
        <v>32</v>
      </c>
      <c r="D637" s="9" t="s">
        <v>152</v>
      </c>
      <c r="E637" s="261" t="s">
        <v>153</v>
      </c>
      <c r="F637" s="261" t="s">
        <v>151</v>
      </c>
      <c r="G637" s="9" t="s">
        <v>442</v>
      </c>
      <c r="H637" s="9" t="s">
        <v>152</v>
      </c>
      <c r="I637" s="9" t="s">
        <v>153</v>
      </c>
      <c r="J637" s="9" t="s">
        <v>153</v>
      </c>
      <c r="L637" s="261" t="s">
        <v>392</v>
      </c>
      <c r="M637" s="262">
        <v>29261</v>
      </c>
      <c r="N637" s="262">
        <v>22317</v>
      </c>
      <c r="O637" s="262">
        <v>21190</v>
      </c>
      <c r="P637" s="262">
        <v>37687</v>
      </c>
      <c r="Q637" s="262">
        <v>46609</v>
      </c>
      <c r="R637" s="262">
        <v>46955</v>
      </c>
      <c r="S637" s="262">
        <v>52946</v>
      </c>
      <c r="T637" s="262">
        <v>45866</v>
      </c>
      <c r="U637" s="262">
        <v>27582</v>
      </c>
      <c r="V637" s="262">
        <v>23810</v>
      </c>
      <c r="W637" s="262">
        <v>18685</v>
      </c>
      <c r="X637" s="262">
        <v>20930</v>
      </c>
      <c r="Y637" s="262">
        <f t="shared" si="10"/>
        <v>393838</v>
      </c>
    </row>
    <row r="638" spans="1:25" s="261" customFormat="1" ht="11.25" customHeight="1">
      <c r="A638" s="261">
        <v>2014</v>
      </c>
      <c r="B638" s="261" t="s">
        <v>574</v>
      </c>
      <c r="C638" s="261" t="s">
        <v>32</v>
      </c>
      <c r="D638" s="9" t="s">
        <v>152</v>
      </c>
      <c r="E638" s="261" t="s">
        <v>153</v>
      </c>
      <c r="F638" s="261" t="s">
        <v>151</v>
      </c>
      <c r="G638" s="9" t="s">
        <v>442</v>
      </c>
      <c r="H638" s="9" t="s">
        <v>152</v>
      </c>
      <c r="I638" s="9" t="s">
        <v>153</v>
      </c>
      <c r="J638" s="9" t="s">
        <v>153</v>
      </c>
      <c r="L638" s="261" t="s">
        <v>373</v>
      </c>
      <c r="M638" s="262">
        <v>292007</v>
      </c>
      <c r="N638" s="262">
        <v>408382</v>
      </c>
      <c r="O638" s="262">
        <v>353180</v>
      </c>
      <c r="P638" s="262">
        <v>290030</v>
      </c>
      <c r="Q638" s="262">
        <v>548710</v>
      </c>
      <c r="R638" s="262">
        <v>519563</v>
      </c>
      <c r="S638" s="262">
        <v>485067</v>
      </c>
      <c r="T638" s="262">
        <v>382485</v>
      </c>
      <c r="U638" s="262">
        <v>364636</v>
      </c>
      <c r="V638" s="262">
        <v>279095</v>
      </c>
      <c r="W638" s="262">
        <v>277426</v>
      </c>
      <c r="X638" s="262">
        <v>395825</v>
      </c>
      <c r="Y638" s="262">
        <f t="shared" si="10"/>
        <v>4596406</v>
      </c>
    </row>
    <row r="639" spans="1:25" s="261" customFormat="1" ht="11.25" customHeight="1">
      <c r="A639" s="261">
        <v>2014</v>
      </c>
      <c r="B639" s="261" t="s">
        <v>574</v>
      </c>
      <c r="C639" s="261" t="s">
        <v>32</v>
      </c>
      <c r="D639" s="9" t="s">
        <v>152</v>
      </c>
      <c r="E639" s="261" t="s">
        <v>153</v>
      </c>
      <c r="F639" s="261" t="s">
        <v>151</v>
      </c>
      <c r="G639" s="9" t="s">
        <v>442</v>
      </c>
      <c r="H639" s="9" t="s">
        <v>152</v>
      </c>
      <c r="I639" s="9" t="s">
        <v>153</v>
      </c>
      <c r="J639" s="9" t="s">
        <v>153</v>
      </c>
      <c r="L639" s="261" t="s">
        <v>365</v>
      </c>
      <c r="M639" s="262">
        <v>44961</v>
      </c>
      <c r="N639" s="262">
        <v>38151</v>
      </c>
      <c r="O639" s="262">
        <v>49851</v>
      </c>
      <c r="P639" s="262">
        <v>50364</v>
      </c>
      <c r="Q639" s="262">
        <v>94707</v>
      </c>
      <c r="R639" s="262">
        <v>91129</v>
      </c>
      <c r="S639" s="262">
        <v>91330</v>
      </c>
      <c r="T639" s="262">
        <v>79113</v>
      </c>
      <c r="U639" s="262">
        <v>44338</v>
      </c>
      <c r="V639" s="262">
        <v>49678</v>
      </c>
      <c r="W639" s="262">
        <v>41946</v>
      </c>
      <c r="X639" s="262">
        <v>35826</v>
      </c>
      <c r="Y639" s="262">
        <f t="shared" si="10"/>
        <v>711394</v>
      </c>
    </row>
    <row r="640" spans="1:25" s="261" customFormat="1" ht="11.25" customHeight="1">
      <c r="A640" s="261">
        <v>2014</v>
      </c>
      <c r="B640" s="261" t="s">
        <v>574</v>
      </c>
      <c r="C640" s="261" t="s">
        <v>32</v>
      </c>
      <c r="D640" s="9" t="s">
        <v>152</v>
      </c>
      <c r="E640" s="261" t="s">
        <v>153</v>
      </c>
      <c r="F640" s="261" t="s">
        <v>151</v>
      </c>
      <c r="G640" s="9" t="s">
        <v>442</v>
      </c>
      <c r="H640" s="9" t="s">
        <v>152</v>
      </c>
      <c r="I640" s="9" t="s">
        <v>153</v>
      </c>
      <c r="J640" s="9" t="s">
        <v>153</v>
      </c>
      <c r="L640" s="261" t="s">
        <v>372</v>
      </c>
      <c r="M640" s="262">
        <v>75199</v>
      </c>
      <c r="N640" s="262">
        <v>69302</v>
      </c>
      <c r="O640" s="262">
        <v>78554</v>
      </c>
      <c r="P640" s="262">
        <v>124854</v>
      </c>
      <c r="Q640" s="262">
        <v>176269</v>
      </c>
      <c r="R640" s="262">
        <v>125139</v>
      </c>
      <c r="S640" s="262">
        <v>145464</v>
      </c>
      <c r="T640" s="262">
        <v>90875</v>
      </c>
      <c r="U640" s="262">
        <v>62789</v>
      </c>
      <c r="V640" s="262">
        <v>35186</v>
      </c>
      <c r="W640" s="262">
        <v>27142</v>
      </c>
      <c r="X640" s="262">
        <v>54933</v>
      </c>
      <c r="Y640" s="262">
        <f t="shared" si="10"/>
        <v>1065706</v>
      </c>
    </row>
    <row r="641" spans="1:25" s="261" customFormat="1" ht="11.25" customHeight="1">
      <c r="A641" s="261">
        <v>2014</v>
      </c>
      <c r="B641" s="261" t="s">
        <v>574</v>
      </c>
      <c r="C641" s="261" t="s">
        <v>32</v>
      </c>
      <c r="D641" s="9" t="s">
        <v>152</v>
      </c>
      <c r="E641" s="261" t="s">
        <v>153</v>
      </c>
      <c r="F641" s="261" t="s">
        <v>151</v>
      </c>
      <c r="G641" s="9" t="s">
        <v>442</v>
      </c>
      <c r="H641" s="9" t="s">
        <v>152</v>
      </c>
      <c r="I641" s="9" t="s">
        <v>153</v>
      </c>
      <c r="J641" s="9" t="s">
        <v>153</v>
      </c>
      <c r="L641" s="261" t="s">
        <v>371</v>
      </c>
      <c r="M641" s="262">
        <v>32780</v>
      </c>
      <c r="N641" s="262">
        <v>37358</v>
      </c>
      <c r="O641" s="262">
        <v>41121</v>
      </c>
      <c r="P641" s="262">
        <v>59171</v>
      </c>
      <c r="Q641" s="262">
        <v>74058</v>
      </c>
      <c r="R641" s="262">
        <v>66199</v>
      </c>
      <c r="S641" s="262">
        <v>79244</v>
      </c>
      <c r="T641" s="262">
        <v>60378</v>
      </c>
      <c r="U641" s="262">
        <v>29693</v>
      </c>
      <c r="V641" s="262">
        <v>26991</v>
      </c>
      <c r="W641" s="262">
        <v>26215</v>
      </c>
      <c r="X641" s="262">
        <v>32329</v>
      </c>
      <c r="Y641" s="262">
        <f t="shared" si="10"/>
        <v>565537</v>
      </c>
    </row>
    <row r="642" spans="1:25" s="261" customFormat="1" ht="11.25" customHeight="1">
      <c r="A642" s="261">
        <v>2014</v>
      </c>
      <c r="B642" s="261" t="s">
        <v>574</v>
      </c>
      <c r="C642" s="261" t="s">
        <v>32</v>
      </c>
      <c r="D642" s="9" t="s">
        <v>152</v>
      </c>
      <c r="E642" s="261" t="s">
        <v>153</v>
      </c>
      <c r="F642" s="261" t="s">
        <v>151</v>
      </c>
      <c r="G642" s="9" t="s">
        <v>442</v>
      </c>
      <c r="H642" s="9" t="s">
        <v>152</v>
      </c>
      <c r="I642" s="9" t="s">
        <v>153</v>
      </c>
      <c r="J642" s="9" t="s">
        <v>153</v>
      </c>
      <c r="L642" s="261" t="s">
        <v>352</v>
      </c>
      <c r="M642" s="262">
        <v>3836.0365496051845</v>
      </c>
      <c r="N642" s="262">
        <v>4291.5127330044243</v>
      </c>
      <c r="O642" s="262">
        <v>2930</v>
      </c>
      <c r="P642" s="262">
        <v>4816</v>
      </c>
      <c r="Q642" s="262">
        <v>7356</v>
      </c>
      <c r="R642" s="262">
        <v>11657.311578349092</v>
      </c>
      <c r="S642" s="262">
        <v>8235</v>
      </c>
      <c r="T642" s="262">
        <v>8864.3340919278435</v>
      </c>
      <c r="U642" s="262">
        <v>3000</v>
      </c>
      <c r="V642" s="262">
        <v>4512.2973075969358</v>
      </c>
      <c r="W642" s="262">
        <v>4394.5656053297298</v>
      </c>
      <c r="X642" s="262">
        <v>4704.9357285968645</v>
      </c>
      <c r="Y642" s="262">
        <f t="shared" ref="Y642:Y703" si="11">SUM(M642:X642)</f>
        <v>68597.993594410073</v>
      </c>
    </row>
    <row r="643" spans="1:25" s="261" customFormat="1" ht="11.25" customHeight="1">
      <c r="A643" s="261">
        <v>2014</v>
      </c>
      <c r="B643" s="261" t="s">
        <v>574</v>
      </c>
      <c r="C643" s="261" t="s">
        <v>32</v>
      </c>
      <c r="D643" s="9" t="s">
        <v>152</v>
      </c>
      <c r="E643" s="261" t="s">
        <v>153</v>
      </c>
      <c r="F643" s="261" t="s">
        <v>151</v>
      </c>
      <c r="G643" s="9" t="s">
        <v>442</v>
      </c>
      <c r="H643" s="9" t="s">
        <v>152</v>
      </c>
      <c r="I643" s="9" t="s">
        <v>153</v>
      </c>
      <c r="J643" s="9" t="s">
        <v>153</v>
      </c>
      <c r="L643" s="261" t="s">
        <v>370</v>
      </c>
      <c r="M643" s="262">
        <v>23812</v>
      </c>
      <c r="N643" s="262">
        <v>22461</v>
      </c>
      <c r="O643" s="262">
        <v>21154</v>
      </c>
      <c r="P643" s="262">
        <v>34625</v>
      </c>
      <c r="Q643" s="262">
        <v>51556</v>
      </c>
      <c r="R643" s="262">
        <v>29681</v>
      </c>
      <c r="S643" s="262">
        <v>52806</v>
      </c>
      <c r="T643" s="262">
        <v>35233</v>
      </c>
      <c r="U643" s="262">
        <v>18104</v>
      </c>
      <c r="V643" s="262">
        <v>19546</v>
      </c>
      <c r="W643" s="262">
        <v>16482</v>
      </c>
      <c r="X643" s="262">
        <v>31121</v>
      </c>
      <c r="Y643" s="262">
        <f t="shared" si="11"/>
        <v>356581</v>
      </c>
    </row>
    <row r="644" spans="1:25" s="261" customFormat="1" ht="11.25" customHeight="1">
      <c r="A644" s="261">
        <v>2014</v>
      </c>
      <c r="B644" s="261" t="s">
        <v>574</v>
      </c>
      <c r="C644" s="261" t="s">
        <v>32</v>
      </c>
      <c r="D644" s="9" t="s">
        <v>152</v>
      </c>
      <c r="E644" s="261" t="s">
        <v>153</v>
      </c>
      <c r="F644" s="261" t="s">
        <v>151</v>
      </c>
      <c r="G644" s="9" t="s">
        <v>442</v>
      </c>
      <c r="H644" s="9" t="s">
        <v>152</v>
      </c>
      <c r="I644" s="9" t="s">
        <v>153</v>
      </c>
      <c r="J644" s="9" t="s">
        <v>153</v>
      </c>
      <c r="L644" s="261" t="s">
        <v>516</v>
      </c>
      <c r="M644" s="262">
        <v>300.2093077754277</v>
      </c>
      <c r="N644" s="262">
        <v>329.17029958879965</v>
      </c>
      <c r="O644" s="262">
        <v>391.64238551233825</v>
      </c>
      <c r="P644" s="262">
        <v>579.29142130577384</v>
      </c>
      <c r="Q644" s="262">
        <v>1085.1502059879992</v>
      </c>
      <c r="R644" s="262">
        <v>1248.9973759740187</v>
      </c>
      <c r="S644" s="262">
        <v>1103.1959551211705</v>
      </c>
      <c r="T644" s="262">
        <v>887.84765564974532</v>
      </c>
      <c r="U644" s="262">
        <v>468.81782623341974</v>
      </c>
      <c r="V644" s="262">
        <v>338.67699550797545</v>
      </c>
      <c r="W644" s="262">
        <v>330.70607661601321</v>
      </c>
      <c r="X644" s="262">
        <v>354.44195412870283</v>
      </c>
      <c r="Y644" s="262">
        <f t="shared" si="11"/>
        <v>7418.1474594013835</v>
      </c>
    </row>
    <row r="645" spans="1:25" s="261" customFormat="1" ht="11.25" customHeight="1">
      <c r="A645" s="261">
        <v>2014</v>
      </c>
      <c r="B645" s="261" t="s">
        <v>574</v>
      </c>
      <c r="C645" s="261" t="s">
        <v>32</v>
      </c>
      <c r="D645" s="9" t="s">
        <v>152</v>
      </c>
      <c r="E645" s="261" t="s">
        <v>153</v>
      </c>
      <c r="F645" s="261" t="s">
        <v>151</v>
      </c>
      <c r="G645" s="9" t="s">
        <v>442</v>
      </c>
      <c r="H645" s="9" t="s">
        <v>152</v>
      </c>
      <c r="I645" s="9" t="s">
        <v>153</v>
      </c>
      <c r="J645" s="9" t="s">
        <v>153</v>
      </c>
      <c r="L645" s="261" t="s">
        <v>390</v>
      </c>
      <c r="M645" s="262">
        <v>0</v>
      </c>
      <c r="N645" s="262">
        <v>0</v>
      </c>
      <c r="O645" s="262">
        <v>0</v>
      </c>
      <c r="P645" s="262">
        <v>0</v>
      </c>
      <c r="Q645" s="262">
        <v>0</v>
      </c>
      <c r="R645" s="262">
        <v>0</v>
      </c>
      <c r="S645" s="262">
        <v>0</v>
      </c>
      <c r="T645" s="262">
        <v>0</v>
      </c>
      <c r="U645" s="262">
        <v>0</v>
      </c>
      <c r="V645" s="262">
        <v>0</v>
      </c>
      <c r="W645" s="262">
        <v>0</v>
      </c>
      <c r="X645" s="262">
        <v>0</v>
      </c>
      <c r="Y645" s="262">
        <f t="shared" si="11"/>
        <v>0</v>
      </c>
    </row>
    <row r="646" spans="1:25" s="261" customFormat="1" ht="11.25" customHeight="1">
      <c r="A646" s="261">
        <v>2014</v>
      </c>
      <c r="B646" s="261" t="s">
        <v>574</v>
      </c>
      <c r="C646" s="261" t="s">
        <v>32</v>
      </c>
      <c r="D646" s="9" t="s">
        <v>152</v>
      </c>
      <c r="E646" s="261" t="s">
        <v>153</v>
      </c>
      <c r="F646" s="261" t="s">
        <v>151</v>
      </c>
      <c r="G646" s="9" t="s">
        <v>442</v>
      </c>
      <c r="H646" s="9" t="s">
        <v>152</v>
      </c>
      <c r="I646" s="9" t="s">
        <v>153</v>
      </c>
      <c r="J646" s="9" t="s">
        <v>153</v>
      </c>
      <c r="L646" s="261" t="s">
        <v>517</v>
      </c>
      <c r="M646" s="262">
        <v>5100.6260403226561</v>
      </c>
      <c r="N646" s="262">
        <v>5658.5309503186854</v>
      </c>
      <c r="O646" s="262">
        <v>6346.2513220439878</v>
      </c>
      <c r="P646" s="262">
        <v>7282.2183604863185</v>
      </c>
      <c r="Q646" s="262">
        <v>10513.247017088879</v>
      </c>
      <c r="R646" s="262">
        <v>11954.280561157855</v>
      </c>
      <c r="S646" s="262">
        <v>10480.252853410455</v>
      </c>
      <c r="T646" s="262">
        <v>9406.8876835204192</v>
      </c>
      <c r="U646" s="262">
        <v>6739.4866219786672</v>
      </c>
      <c r="V646" s="262">
        <v>5845.7690066143787</v>
      </c>
      <c r="W646" s="262">
        <v>5720.1864399279712</v>
      </c>
      <c r="X646" s="262">
        <v>6166.249753211031</v>
      </c>
      <c r="Y646" s="262">
        <f t="shared" si="11"/>
        <v>91213.986610081309</v>
      </c>
    </row>
    <row r="647" spans="1:25" s="261" customFormat="1" ht="11.25" customHeight="1">
      <c r="A647" s="261">
        <v>2014</v>
      </c>
      <c r="B647" s="261" t="s">
        <v>574</v>
      </c>
      <c r="C647" s="261" t="s">
        <v>32</v>
      </c>
      <c r="D647" s="9" t="s">
        <v>152</v>
      </c>
      <c r="E647" s="261" t="s">
        <v>153</v>
      </c>
      <c r="F647" s="261" t="s">
        <v>151</v>
      </c>
      <c r="G647" s="9" t="s">
        <v>442</v>
      </c>
      <c r="H647" s="9" t="s">
        <v>152</v>
      </c>
      <c r="I647" s="9" t="s">
        <v>153</v>
      </c>
      <c r="J647" s="9" t="s">
        <v>153</v>
      </c>
      <c r="L647" s="261" t="s">
        <v>383</v>
      </c>
      <c r="M647" s="262">
        <v>467.06854759631142</v>
      </c>
      <c r="N647" s="262">
        <v>487.51495208241892</v>
      </c>
      <c r="O647" s="262">
        <v>632.02378989377462</v>
      </c>
      <c r="P647" s="262">
        <v>1164.9021468773435</v>
      </c>
      <c r="Q647" s="262">
        <v>2510.9127296388388</v>
      </c>
      <c r="R647" s="262">
        <v>2906.1096931793145</v>
      </c>
      <c r="S647" s="262">
        <v>2534.5199628064106</v>
      </c>
      <c r="T647" s="262">
        <v>1920.9023973148614</v>
      </c>
      <c r="U647" s="262">
        <v>797.39964093042965</v>
      </c>
      <c r="V647" s="262">
        <v>471.3264612579311</v>
      </c>
      <c r="W647" s="262">
        <v>464.52816582735352</v>
      </c>
      <c r="X647" s="262">
        <v>501.15395844122094</v>
      </c>
      <c r="Y647" s="262">
        <f t="shared" si="11"/>
        <v>14858.362445846209</v>
      </c>
    </row>
    <row r="648" spans="1:25" s="261" customFormat="1" ht="11.25" customHeight="1">
      <c r="A648" s="261">
        <v>2014</v>
      </c>
      <c r="B648" s="261" t="s">
        <v>574</v>
      </c>
      <c r="C648" s="261" t="s">
        <v>32</v>
      </c>
      <c r="D648" s="9" t="s">
        <v>152</v>
      </c>
      <c r="E648" s="261" t="s">
        <v>153</v>
      </c>
      <c r="F648" s="261" t="s">
        <v>151</v>
      </c>
      <c r="G648" s="9" t="s">
        <v>442</v>
      </c>
      <c r="H648" s="9" t="s">
        <v>152</v>
      </c>
      <c r="I648" s="9" t="s">
        <v>153</v>
      </c>
      <c r="J648" s="9" t="s">
        <v>153</v>
      </c>
      <c r="L648" s="261" t="s">
        <v>343</v>
      </c>
      <c r="M648" s="262">
        <v>93.036414018812238</v>
      </c>
      <c r="N648" s="262">
        <v>93.663771285775084</v>
      </c>
      <c r="O648" s="262">
        <v>116.04896046436016</v>
      </c>
      <c r="P648" s="262">
        <v>171.19440616692341</v>
      </c>
      <c r="Q648" s="262">
        <v>313.70069527515955</v>
      </c>
      <c r="R648" s="262">
        <v>361.0708027821135</v>
      </c>
      <c r="S648" s="262">
        <v>299.2488769013446</v>
      </c>
      <c r="T648" s="262">
        <v>235.00466341027627</v>
      </c>
      <c r="U648" s="262">
        <v>113.33884192425313</v>
      </c>
      <c r="V648" s="262">
        <v>83.08907255502757</v>
      </c>
      <c r="W648" s="262">
        <v>83.828292784641903</v>
      </c>
      <c r="X648" s="262">
        <v>93.293806362617843</v>
      </c>
      <c r="Y648" s="262">
        <f t="shared" si="11"/>
        <v>2056.5186039313053</v>
      </c>
    </row>
    <row r="649" spans="1:25" s="261" customFormat="1" ht="11.25" customHeight="1">
      <c r="A649" s="261">
        <v>2014</v>
      </c>
      <c r="B649" s="261" t="s">
        <v>574</v>
      </c>
      <c r="C649" s="261" t="s">
        <v>32</v>
      </c>
      <c r="D649" s="9" t="s">
        <v>152</v>
      </c>
      <c r="E649" s="261" t="s">
        <v>153</v>
      </c>
      <c r="F649" s="261" t="s">
        <v>151</v>
      </c>
      <c r="G649" s="9" t="s">
        <v>442</v>
      </c>
      <c r="H649" s="9" t="s">
        <v>152</v>
      </c>
      <c r="I649" s="9" t="s">
        <v>153</v>
      </c>
      <c r="J649" s="9" t="s">
        <v>153</v>
      </c>
      <c r="L649" s="261" t="s">
        <v>518</v>
      </c>
      <c r="M649" s="262">
        <v>107.96026928612764</v>
      </c>
      <c r="N649" s="262">
        <v>117.12786918953378</v>
      </c>
      <c r="O649" s="262">
        <v>132.4576598948276</v>
      </c>
      <c r="P649" s="262">
        <v>150.12278182132616</v>
      </c>
      <c r="Q649" s="262">
        <v>211.12602168303488</v>
      </c>
      <c r="R649" s="262">
        <v>239.83064161403715</v>
      </c>
      <c r="S649" s="262">
        <v>203.82498994734905</v>
      </c>
      <c r="T649" s="262">
        <v>183.2615511405931</v>
      </c>
      <c r="U649" s="262">
        <v>131.76487995714334</v>
      </c>
      <c r="V649" s="262">
        <v>116.77079672766413</v>
      </c>
      <c r="W649" s="262">
        <v>115.14655134912215</v>
      </c>
      <c r="X649" s="262">
        <v>125.28658418800204</v>
      </c>
      <c r="Y649" s="262">
        <f t="shared" si="11"/>
        <v>1834.6805967987611</v>
      </c>
    </row>
    <row r="650" spans="1:25" s="261" customFormat="1" ht="11.25" customHeight="1">
      <c r="A650" s="261">
        <v>2014</v>
      </c>
      <c r="B650" s="261" t="s">
        <v>574</v>
      </c>
      <c r="C650" s="261" t="s">
        <v>32</v>
      </c>
      <c r="D650" s="9" t="s">
        <v>152</v>
      </c>
      <c r="E650" s="261" t="s">
        <v>153</v>
      </c>
      <c r="F650" s="261" t="s">
        <v>151</v>
      </c>
      <c r="G650" s="9" t="s">
        <v>442</v>
      </c>
      <c r="H650" s="9" t="s">
        <v>152</v>
      </c>
      <c r="I650" s="9" t="s">
        <v>153</v>
      </c>
      <c r="J650" s="9" t="s">
        <v>153</v>
      </c>
      <c r="L650" s="261" t="s">
        <v>519</v>
      </c>
      <c r="M650" s="262">
        <v>302.3070804805742</v>
      </c>
      <c r="N650" s="262">
        <v>353.50483628559277</v>
      </c>
      <c r="O650" s="262">
        <v>382.73782758963637</v>
      </c>
      <c r="P650" s="262">
        <v>412.49244548349981</v>
      </c>
      <c r="Q650" s="262">
        <v>557.36702542194212</v>
      </c>
      <c r="R650" s="262">
        <v>630.76615020280326</v>
      </c>
      <c r="S650" s="262">
        <v>591.89488381768331</v>
      </c>
      <c r="T650" s="262">
        <v>559.77907936491874</v>
      </c>
      <c r="U650" s="262">
        <v>447.89360562064962</v>
      </c>
      <c r="V650" s="262">
        <v>392.82262881683329</v>
      </c>
      <c r="W650" s="262">
        <v>378.90685489060229</v>
      </c>
      <c r="X650" s="262">
        <v>401.60437827418514</v>
      </c>
      <c r="Y650" s="262">
        <f t="shared" si="11"/>
        <v>5412.0767962489217</v>
      </c>
    </row>
    <row r="651" spans="1:25" s="261" customFormat="1" ht="11.25" customHeight="1">
      <c r="A651" s="261">
        <v>2014</v>
      </c>
      <c r="B651" s="261" t="s">
        <v>573</v>
      </c>
      <c r="C651" s="261" t="s">
        <v>32</v>
      </c>
      <c r="D651" s="9" t="s">
        <v>32</v>
      </c>
      <c r="E651" s="261" t="s">
        <v>12</v>
      </c>
      <c r="F651" s="261" t="s">
        <v>151</v>
      </c>
      <c r="G651" s="9" t="s">
        <v>442</v>
      </c>
      <c r="H651" s="9" t="s">
        <v>12</v>
      </c>
      <c r="I651" s="9" t="s">
        <v>12</v>
      </c>
      <c r="J651" s="9" t="s">
        <v>13</v>
      </c>
      <c r="K651" s="261" t="s">
        <v>346</v>
      </c>
      <c r="M651" s="262">
        <v>430</v>
      </c>
      <c r="N651" s="262">
        <v>430</v>
      </c>
      <c r="O651" s="262">
        <v>430</v>
      </c>
      <c r="P651" s="262">
        <v>430</v>
      </c>
      <c r="Q651" s="262">
        <v>430</v>
      </c>
      <c r="R651" s="262">
        <v>430</v>
      </c>
      <c r="S651" s="262">
        <v>430</v>
      </c>
      <c r="T651" s="262">
        <v>430</v>
      </c>
      <c r="U651" s="262">
        <v>430</v>
      </c>
      <c r="V651" s="262">
        <v>430</v>
      </c>
      <c r="W651" s="262">
        <v>430</v>
      </c>
      <c r="X651" s="262">
        <v>430</v>
      </c>
      <c r="Y651" s="262">
        <f t="shared" si="11"/>
        <v>5160</v>
      </c>
    </row>
    <row r="652" spans="1:25" s="261" customFormat="1" ht="11.25" customHeight="1">
      <c r="A652" s="261">
        <v>2014</v>
      </c>
      <c r="B652" s="261" t="s">
        <v>573</v>
      </c>
      <c r="C652" s="261" t="s">
        <v>32</v>
      </c>
      <c r="D652" s="9" t="s">
        <v>32</v>
      </c>
      <c r="E652" s="261" t="s">
        <v>12</v>
      </c>
      <c r="F652" s="261" t="s">
        <v>151</v>
      </c>
      <c r="G652" s="9" t="s">
        <v>442</v>
      </c>
      <c r="H652" s="9" t="s">
        <v>12</v>
      </c>
      <c r="I652" s="9" t="s">
        <v>12</v>
      </c>
      <c r="J652" s="9" t="s">
        <v>13</v>
      </c>
      <c r="K652" s="261" t="s">
        <v>386</v>
      </c>
      <c r="M652" s="262">
        <v>430</v>
      </c>
      <c r="N652" s="262">
        <v>430</v>
      </c>
      <c r="O652" s="262">
        <v>430</v>
      </c>
      <c r="P652" s="262">
        <v>430</v>
      </c>
      <c r="Q652" s="262">
        <v>430</v>
      </c>
      <c r="R652" s="262">
        <v>430</v>
      </c>
      <c r="S652" s="262">
        <v>430</v>
      </c>
      <c r="T652" s="262">
        <v>430</v>
      </c>
      <c r="U652" s="262">
        <v>430</v>
      </c>
      <c r="V652" s="262">
        <v>430</v>
      </c>
      <c r="W652" s="262">
        <v>430</v>
      </c>
      <c r="X652" s="262">
        <v>430</v>
      </c>
      <c r="Y652" s="262">
        <f t="shared" si="11"/>
        <v>5160</v>
      </c>
    </row>
    <row r="653" spans="1:25" s="261" customFormat="1" ht="11.25" customHeight="1">
      <c r="A653" s="261">
        <v>2014</v>
      </c>
      <c r="B653" s="261" t="s">
        <v>573</v>
      </c>
      <c r="C653" s="261" t="s">
        <v>32</v>
      </c>
      <c r="D653" s="9" t="s">
        <v>32</v>
      </c>
      <c r="E653" s="261" t="s">
        <v>12</v>
      </c>
      <c r="F653" s="261" t="s">
        <v>151</v>
      </c>
      <c r="G653" s="9" t="s">
        <v>442</v>
      </c>
      <c r="H653" s="9" t="s">
        <v>12</v>
      </c>
      <c r="I653" s="9" t="s">
        <v>12</v>
      </c>
      <c r="J653" s="9" t="s">
        <v>13</v>
      </c>
      <c r="K653" s="261" t="s">
        <v>389</v>
      </c>
      <c r="M653" s="262">
        <v>430</v>
      </c>
      <c r="N653" s="262">
        <v>430</v>
      </c>
      <c r="O653" s="262">
        <v>430</v>
      </c>
      <c r="P653" s="262">
        <v>430</v>
      </c>
      <c r="Q653" s="262">
        <v>430</v>
      </c>
      <c r="R653" s="262">
        <v>430</v>
      </c>
      <c r="S653" s="262">
        <v>430</v>
      </c>
      <c r="T653" s="262">
        <v>430</v>
      </c>
      <c r="U653" s="262">
        <v>430</v>
      </c>
      <c r="V653" s="262">
        <v>430</v>
      </c>
      <c r="W653" s="262">
        <v>430</v>
      </c>
      <c r="X653" s="262">
        <v>430</v>
      </c>
      <c r="Y653" s="262">
        <f t="shared" si="11"/>
        <v>5160</v>
      </c>
    </row>
    <row r="654" spans="1:25" s="261" customFormat="1" ht="11.25" customHeight="1">
      <c r="A654" s="261">
        <v>2014</v>
      </c>
      <c r="B654" s="261" t="s">
        <v>573</v>
      </c>
      <c r="C654" s="261" t="s">
        <v>32</v>
      </c>
      <c r="D654" s="9" t="s">
        <v>32</v>
      </c>
      <c r="E654" s="261" t="s">
        <v>12</v>
      </c>
      <c r="F654" s="261" t="s">
        <v>151</v>
      </c>
      <c r="G654" s="9" t="s">
        <v>442</v>
      </c>
      <c r="H654" s="9" t="s">
        <v>12</v>
      </c>
      <c r="I654" s="9" t="s">
        <v>12</v>
      </c>
      <c r="J654" s="9" t="s">
        <v>13</v>
      </c>
      <c r="K654" s="261" t="s">
        <v>347</v>
      </c>
      <c r="M654" s="262">
        <v>430</v>
      </c>
      <c r="N654" s="262">
        <v>430</v>
      </c>
      <c r="O654" s="262">
        <v>430</v>
      </c>
      <c r="P654" s="262">
        <v>430</v>
      </c>
      <c r="Q654" s="262">
        <v>430</v>
      </c>
      <c r="R654" s="262">
        <v>430</v>
      </c>
      <c r="S654" s="262">
        <v>430</v>
      </c>
      <c r="T654" s="262">
        <v>430</v>
      </c>
      <c r="U654" s="262">
        <v>430</v>
      </c>
      <c r="V654" s="262">
        <v>430</v>
      </c>
      <c r="W654" s="262">
        <v>430</v>
      </c>
      <c r="X654" s="262">
        <v>430</v>
      </c>
      <c r="Y654" s="262">
        <f t="shared" si="11"/>
        <v>5160</v>
      </c>
    </row>
    <row r="655" spans="1:25" s="261" customFormat="1" ht="11.25" customHeight="1">
      <c r="A655" s="261">
        <v>2014</v>
      </c>
      <c r="B655" s="261" t="s">
        <v>573</v>
      </c>
      <c r="C655" s="261" t="s">
        <v>32</v>
      </c>
      <c r="D655" s="9" t="s">
        <v>32</v>
      </c>
      <c r="E655" s="261" t="s">
        <v>12</v>
      </c>
      <c r="F655" s="261" t="s">
        <v>151</v>
      </c>
      <c r="G655" s="9" t="s">
        <v>442</v>
      </c>
      <c r="H655" s="9" t="s">
        <v>12</v>
      </c>
      <c r="I655" s="9" t="s">
        <v>12</v>
      </c>
      <c r="J655" s="9" t="s">
        <v>13</v>
      </c>
      <c r="K655" s="261" t="s">
        <v>391</v>
      </c>
      <c r="M655" s="262">
        <v>430</v>
      </c>
      <c r="N655" s="262">
        <v>430</v>
      </c>
      <c r="O655" s="262">
        <v>430</v>
      </c>
      <c r="P655" s="262">
        <v>430</v>
      </c>
      <c r="Q655" s="262">
        <v>430</v>
      </c>
      <c r="R655" s="262">
        <v>430</v>
      </c>
      <c r="S655" s="262">
        <v>430</v>
      </c>
      <c r="T655" s="262">
        <v>430</v>
      </c>
      <c r="U655" s="262">
        <v>430</v>
      </c>
      <c r="V655" s="262">
        <v>430</v>
      </c>
      <c r="W655" s="262">
        <v>430</v>
      </c>
      <c r="X655" s="262">
        <v>430</v>
      </c>
      <c r="Y655" s="262">
        <f t="shared" si="11"/>
        <v>5160</v>
      </c>
    </row>
    <row r="656" spans="1:25" s="261" customFormat="1" ht="11.25" customHeight="1">
      <c r="A656" s="261">
        <v>2014</v>
      </c>
      <c r="B656" s="261" t="s">
        <v>573</v>
      </c>
      <c r="C656" s="261" t="s">
        <v>32</v>
      </c>
      <c r="D656" s="9" t="s">
        <v>32</v>
      </c>
      <c r="E656" s="261" t="s">
        <v>12</v>
      </c>
      <c r="F656" s="261" t="s">
        <v>151</v>
      </c>
      <c r="G656" s="9" t="s">
        <v>442</v>
      </c>
      <c r="H656" s="9" t="s">
        <v>12</v>
      </c>
      <c r="I656" s="9" t="s">
        <v>12</v>
      </c>
      <c r="J656" s="9" t="s">
        <v>13</v>
      </c>
      <c r="K656" s="261" t="s">
        <v>344</v>
      </c>
      <c r="M656" s="262">
        <v>430</v>
      </c>
      <c r="N656" s="262">
        <v>430</v>
      </c>
      <c r="O656" s="262">
        <v>430</v>
      </c>
      <c r="P656" s="262">
        <v>430</v>
      </c>
      <c r="Q656" s="262">
        <v>430</v>
      </c>
      <c r="R656" s="262">
        <v>430</v>
      </c>
      <c r="S656" s="262">
        <v>430</v>
      </c>
      <c r="T656" s="262">
        <v>430</v>
      </c>
      <c r="U656" s="262">
        <v>430</v>
      </c>
      <c r="V656" s="262">
        <v>430</v>
      </c>
      <c r="W656" s="262">
        <v>430</v>
      </c>
      <c r="X656" s="262">
        <v>430</v>
      </c>
      <c r="Y656" s="262">
        <f t="shared" si="11"/>
        <v>5160</v>
      </c>
    </row>
    <row r="657" spans="1:25" s="261" customFormat="1" ht="11.25" customHeight="1">
      <c r="A657" s="261">
        <v>2014</v>
      </c>
      <c r="B657" s="261" t="s">
        <v>573</v>
      </c>
      <c r="C657" s="261" t="s">
        <v>32</v>
      </c>
      <c r="D657" s="9" t="s">
        <v>32</v>
      </c>
      <c r="E657" s="261" t="s">
        <v>148</v>
      </c>
      <c r="F657" s="261" t="s">
        <v>193</v>
      </c>
      <c r="G657" s="9" t="s">
        <v>442</v>
      </c>
      <c r="H657" s="9" t="s">
        <v>148</v>
      </c>
      <c r="I657" s="9" t="s">
        <v>148</v>
      </c>
      <c r="J657" s="9" t="s">
        <v>148</v>
      </c>
      <c r="M657" s="262">
        <v>46100</v>
      </c>
      <c r="N657" s="262">
        <v>46100</v>
      </c>
      <c r="O657" s="262">
        <v>46100</v>
      </c>
      <c r="P657" s="262">
        <v>46100</v>
      </c>
      <c r="Q657" s="262">
        <v>52500</v>
      </c>
      <c r="R657" s="262">
        <v>52500</v>
      </c>
      <c r="S657" s="262">
        <v>52500</v>
      </c>
      <c r="T657" s="262">
        <v>52500</v>
      </c>
      <c r="U657" s="262">
        <v>52500</v>
      </c>
      <c r="V657" s="262">
        <v>46100</v>
      </c>
      <c r="W657" s="262">
        <v>46100</v>
      </c>
      <c r="X657" s="262">
        <v>46100</v>
      </c>
      <c r="Y657" s="262">
        <f t="shared" si="11"/>
        <v>585200</v>
      </c>
    </row>
    <row r="658" spans="1:25" s="261" customFormat="1" ht="11.25" customHeight="1">
      <c r="A658" s="261">
        <v>2014</v>
      </c>
      <c r="B658" s="261" t="s">
        <v>573</v>
      </c>
      <c r="C658" s="261" t="s">
        <v>32</v>
      </c>
      <c r="D658" s="9" t="s">
        <v>32</v>
      </c>
      <c r="E658" s="261" t="s">
        <v>37</v>
      </c>
      <c r="F658" s="261" t="s">
        <v>193</v>
      </c>
      <c r="G658" s="9" t="s">
        <v>442</v>
      </c>
      <c r="H658" s="9" t="s">
        <v>37</v>
      </c>
      <c r="I658" s="9" t="s">
        <v>37</v>
      </c>
      <c r="J658" s="9" t="s">
        <v>37</v>
      </c>
      <c r="K658" s="261" t="s">
        <v>198</v>
      </c>
      <c r="M658" s="262">
        <v>400</v>
      </c>
      <c r="N658" s="262">
        <v>400</v>
      </c>
      <c r="O658" s="262">
        <v>400</v>
      </c>
      <c r="P658" s="262">
        <v>400</v>
      </c>
      <c r="Q658" s="262">
        <v>400</v>
      </c>
      <c r="R658" s="262">
        <v>400</v>
      </c>
      <c r="S658" s="262">
        <v>400</v>
      </c>
      <c r="T658" s="262">
        <v>400</v>
      </c>
      <c r="U658" s="262">
        <v>400</v>
      </c>
      <c r="V658" s="262">
        <v>400</v>
      </c>
      <c r="W658" s="262">
        <v>400</v>
      </c>
      <c r="X658" s="262">
        <v>400</v>
      </c>
      <c r="Y658" s="262">
        <f t="shared" si="11"/>
        <v>4800</v>
      </c>
    </row>
    <row r="659" spans="1:25" s="261" customFormat="1" ht="11.25" customHeight="1">
      <c r="A659" s="261">
        <v>2014</v>
      </c>
      <c r="B659" s="261" t="s">
        <v>573</v>
      </c>
      <c r="C659" s="261" t="s">
        <v>32</v>
      </c>
      <c r="D659" s="9" t="s">
        <v>32</v>
      </c>
      <c r="E659" s="261" t="s">
        <v>27</v>
      </c>
      <c r="F659" s="261" t="s">
        <v>193</v>
      </c>
      <c r="G659" s="9" t="s">
        <v>442</v>
      </c>
      <c r="H659" s="9" t="s">
        <v>27</v>
      </c>
      <c r="I659" s="9" t="s">
        <v>27</v>
      </c>
      <c r="J659" s="9" t="s">
        <v>28</v>
      </c>
      <c r="M659" s="262">
        <v>100</v>
      </c>
      <c r="N659" s="262">
        <v>100</v>
      </c>
      <c r="O659" s="262">
        <v>100</v>
      </c>
      <c r="P659" s="262">
        <v>100</v>
      </c>
      <c r="Q659" s="262">
        <v>100</v>
      </c>
      <c r="R659" s="262">
        <v>100</v>
      </c>
      <c r="S659" s="262">
        <v>100</v>
      </c>
      <c r="T659" s="262">
        <v>100</v>
      </c>
      <c r="U659" s="262">
        <v>100</v>
      </c>
      <c r="V659" s="262">
        <v>100</v>
      </c>
      <c r="W659" s="262">
        <v>100</v>
      </c>
      <c r="X659" s="262">
        <v>100</v>
      </c>
      <c r="Y659" s="262">
        <f t="shared" si="11"/>
        <v>1200</v>
      </c>
    </row>
    <row r="660" spans="1:25" s="261" customFormat="1" ht="11.25" customHeight="1">
      <c r="A660" s="261">
        <v>2014</v>
      </c>
      <c r="B660" s="261" t="s">
        <v>573</v>
      </c>
      <c r="C660" s="261" t="s">
        <v>32</v>
      </c>
      <c r="D660" s="9" t="s">
        <v>32</v>
      </c>
      <c r="E660" s="261" t="s">
        <v>149</v>
      </c>
      <c r="F660" s="261" t="s">
        <v>193</v>
      </c>
      <c r="G660" s="9" t="s">
        <v>442</v>
      </c>
      <c r="H660" s="9" t="s">
        <v>149</v>
      </c>
      <c r="I660" s="9" t="s">
        <v>149</v>
      </c>
      <c r="J660" s="9" t="s">
        <v>150</v>
      </c>
      <c r="M660" s="262">
        <v>4724.83</v>
      </c>
      <c r="N660" s="262">
        <v>4724.83</v>
      </c>
      <c r="O660" s="262">
        <v>4724.83</v>
      </c>
      <c r="P660" s="262">
        <v>4724.83</v>
      </c>
      <c r="Q660" s="262">
        <v>5748.77</v>
      </c>
      <c r="R660" s="262">
        <v>5748.77</v>
      </c>
      <c r="S660" s="262">
        <v>5748.77</v>
      </c>
      <c r="T660" s="262">
        <v>5748.77</v>
      </c>
      <c r="U660" s="262">
        <v>5748.77</v>
      </c>
      <c r="V660" s="262">
        <v>4724.83</v>
      </c>
      <c r="W660" s="262">
        <v>4724.83</v>
      </c>
      <c r="X660" s="262">
        <v>4724.83</v>
      </c>
      <c r="Y660" s="262">
        <f t="shared" si="11"/>
        <v>61817.660000000018</v>
      </c>
    </row>
    <row r="661" spans="1:25" s="261" customFormat="1" ht="11.25" customHeight="1">
      <c r="A661" s="261">
        <v>2014</v>
      </c>
      <c r="B661" s="261" t="s">
        <v>573</v>
      </c>
      <c r="C661" s="261" t="s">
        <v>32</v>
      </c>
      <c r="D661" s="9" t="s">
        <v>32</v>
      </c>
      <c r="E661" s="261" t="s">
        <v>18</v>
      </c>
      <c r="F661" s="261" t="s">
        <v>193</v>
      </c>
      <c r="G661" s="9" t="s">
        <v>442</v>
      </c>
      <c r="H661" s="9" t="s">
        <v>18</v>
      </c>
      <c r="I661" s="9" t="s">
        <v>18</v>
      </c>
      <c r="J661" s="9" t="s">
        <v>43</v>
      </c>
      <c r="K661" s="261" t="s">
        <v>198</v>
      </c>
      <c r="M661" s="262">
        <v>2500</v>
      </c>
      <c r="N661" s="262">
        <v>2500</v>
      </c>
      <c r="O661" s="262">
        <v>2500</v>
      </c>
      <c r="P661" s="262">
        <v>2500</v>
      </c>
      <c r="Q661" s="262">
        <v>2500</v>
      </c>
      <c r="R661" s="262">
        <v>2500</v>
      </c>
      <c r="S661" s="262">
        <v>2500</v>
      </c>
      <c r="T661" s="262">
        <v>2500</v>
      </c>
      <c r="U661" s="262">
        <v>2500</v>
      </c>
      <c r="V661" s="262">
        <v>2500</v>
      </c>
      <c r="W661" s="262">
        <v>2500</v>
      </c>
      <c r="X661" s="262">
        <v>2500</v>
      </c>
      <c r="Y661" s="262">
        <f t="shared" si="11"/>
        <v>30000</v>
      </c>
    </row>
    <row r="662" spans="1:25" s="261" customFormat="1" ht="11.25" customHeight="1">
      <c r="A662" s="261">
        <v>2014</v>
      </c>
      <c r="B662" s="261" t="s">
        <v>573</v>
      </c>
      <c r="C662" s="261" t="s">
        <v>32</v>
      </c>
      <c r="D662" s="9" t="s">
        <v>32</v>
      </c>
      <c r="E662" s="261" t="s">
        <v>18</v>
      </c>
      <c r="F662" s="261" t="s">
        <v>193</v>
      </c>
      <c r="G662" s="9" t="s">
        <v>442</v>
      </c>
      <c r="H662" s="9" t="s">
        <v>18</v>
      </c>
      <c r="I662" s="9" t="s">
        <v>18</v>
      </c>
      <c r="J662" s="9" t="s">
        <v>43</v>
      </c>
      <c r="K662" s="261" t="s">
        <v>199</v>
      </c>
      <c r="M662" s="262">
        <v>1200</v>
      </c>
      <c r="N662" s="262">
        <v>1200</v>
      </c>
      <c r="O662" s="262">
        <v>1200</v>
      </c>
      <c r="P662" s="262">
        <v>1200</v>
      </c>
      <c r="Q662" s="262">
        <v>1200</v>
      </c>
      <c r="R662" s="262">
        <v>1200</v>
      </c>
      <c r="S662" s="262">
        <v>1200</v>
      </c>
      <c r="T662" s="262">
        <v>1200</v>
      </c>
      <c r="U662" s="262">
        <v>1200</v>
      </c>
      <c r="V662" s="262">
        <v>1200</v>
      </c>
      <c r="W662" s="262">
        <v>1200</v>
      </c>
      <c r="X662" s="262">
        <v>1200</v>
      </c>
      <c r="Y662" s="262">
        <f t="shared" si="11"/>
        <v>14400</v>
      </c>
    </row>
    <row r="663" spans="1:25" s="261" customFormat="1" ht="11.25" customHeight="1">
      <c r="A663" s="261">
        <v>2014</v>
      </c>
      <c r="B663" s="261" t="s">
        <v>573</v>
      </c>
      <c r="C663" s="261" t="s">
        <v>32</v>
      </c>
      <c r="D663" s="9" t="s">
        <v>32</v>
      </c>
      <c r="E663" s="261" t="s">
        <v>18</v>
      </c>
      <c r="F663" s="261" t="s">
        <v>193</v>
      </c>
      <c r="G663" s="9" t="s">
        <v>442</v>
      </c>
      <c r="H663" s="9" t="s">
        <v>18</v>
      </c>
      <c r="I663" s="9" t="s">
        <v>18</v>
      </c>
      <c r="J663" s="9" t="s">
        <v>44</v>
      </c>
      <c r="K663" s="261" t="s">
        <v>196</v>
      </c>
      <c r="M663" s="262">
        <v>600</v>
      </c>
      <c r="N663" s="262">
        <v>600</v>
      </c>
      <c r="O663" s="262">
        <v>600</v>
      </c>
      <c r="P663" s="262">
        <v>600</v>
      </c>
      <c r="Q663" s="262">
        <v>600</v>
      </c>
      <c r="R663" s="262">
        <v>600</v>
      </c>
      <c r="S663" s="262">
        <v>600</v>
      </c>
      <c r="T663" s="262">
        <v>600</v>
      </c>
      <c r="U663" s="262">
        <v>600</v>
      </c>
      <c r="V663" s="262">
        <v>600</v>
      </c>
      <c r="W663" s="262">
        <v>600</v>
      </c>
      <c r="X663" s="262">
        <v>600</v>
      </c>
      <c r="Y663" s="262">
        <f t="shared" si="11"/>
        <v>7200</v>
      </c>
    </row>
    <row r="664" spans="1:25" s="261" customFormat="1" ht="11.25" customHeight="1">
      <c r="A664" s="261">
        <v>2014</v>
      </c>
      <c r="B664" s="261" t="s">
        <v>573</v>
      </c>
      <c r="C664" s="261" t="s">
        <v>32</v>
      </c>
      <c r="D664" s="9" t="s">
        <v>32</v>
      </c>
      <c r="E664" s="261" t="s">
        <v>18</v>
      </c>
      <c r="F664" s="261" t="s">
        <v>193</v>
      </c>
      <c r="G664" s="9" t="s">
        <v>442</v>
      </c>
      <c r="H664" s="9" t="s">
        <v>18</v>
      </c>
      <c r="I664" s="9" t="s">
        <v>18</v>
      </c>
      <c r="J664" s="9" t="s">
        <v>44</v>
      </c>
      <c r="K664" s="261" t="s">
        <v>194</v>
      </c>
      <c r="M664" s="262">
        <v>600</v>
      </c>
      <c r="N664" s="262">
        <v>600</v>
      </c>
      <c r="O664" s="262">
        <v>600</v>
      </c>
      <c r="P664" s="262">
        <v>600</v>
      </c>
      <c r="Q664" s="262">
        <v>600</v>
      </c>
      <c r="R664" s="262">
        <v>600</v>
      </c>
      <c r="S664" s="262">
        <v>600</v>
      </c>
      <c r="T664" s="262">
        <v>600</v>
      </c>
      <c r="U664" s="262">
        <v>600</v>
      </c>
      <c r="V664" s="262">
        <v>600</v>
      </c>
      <c r="W664" s="262">
        <v>600</v>
      </c>
      <c r="X664" s="262">
        <v>600</v>
      </c>
      <c r="Y664" s="262">
        <f t="shared" si="11"/>
        <v>7200</v>
      </c>
    </row>
    <row r="665" spans="1:25" s="261" customFormat="1" ht="11.25" customHeight="1">
      <c r="A665" s="261">
        <v>2014</v>
      </c>
      <c r="B665" s="261" t="s">
        <v>573</v>
      </c>
      <c r="C665" s="261" t="s">
        <v>32</v>
      </c>
      <c r="D665" s="9" t="s">
        <v>32</v>
      </c>
      <c r="E665" s="261" t="s">
        <v>18</v>
      </c>
      <c r="F665" s="261" t="s">
        <v>193</v>
      </c>
      <c r="G665" s="9" t="s">
        <v>442</v>
      </c>
      <c r="H665" s="9" t="s">
        <v>18</v>
      </c>
      <c r="I665" s="9" t="s">
        <v>18</v>
      </c>
      <c r="J665" s="9" t="s">
        <v>44</v>
      </c>
      <c r="K665" s="261" t="s">
        <v>197</v>
      </c>
      <c r="M665" s="262">
        <v>600</v>
      </c>
      <c r="N665" s="262">
        <v>600</v>
      </c>
      <c r="O665" s="262">
        <v>600</v>
      </c>
      <c r="P665" s="262">
        <v>600</v>
      </c>
      <c r="Q665" s="262">
        <v>600</v>
      </c>
      <c r="R665" s="262">
        <v>600</v>
      </c>
      <c r="S665" s="262">
        <v>600</v>
      </c>
      <c r="T665" s="262">
        <v>600</v>
      </c>
      <c r="U665" s="262">
        <v>600</v>
      </c>
      <c r="V665" s="262">
        <v>600</v>
      </c>
      <c r="W665" s="262">
        <v>600</v>
      </c>
      <c r="X665" s="262">
        <v>600</v>
      </c>
      <c r="Y665" s="262">
        <f t="shared" si="11"/>
        <v>7200</v>
      </c>
    </row>
    <row r="666" spans="1:25" s="261" customFormat="1" ht="11.25" customHeight="1">
      <c r="A666" s="261">
        <v>2014</v>
      </c>
      <c r="B666" s="261" t="s">
        <v>573</v>
      </c>
      <c r="C666" s="261" t="s">
        <v>32</v>
      </c>
      <c r="D666" s="9" t="s">
        <v>32</v>
      </c>
      <c r="E666" s="261" t="s">
        <v>18</v>
      </c>
      <c r="F666" s="261" t="s">
        <v>193</v>
      </c>
      <c r="G666" s="9" t="s">
        <v>442</v>
      </c>
      <c r="H666" s="9" t="s">
        <v>18</v>
      </c>
      <c r="I666" s="9" t="s">
        <v>18</v>
      </c>
      <c r="J666" s="9" t="s">
        <v>44</v>
      </c>
      <c r="K666" s="261" t="s">
        <v>200</v>
      </c>
      <c r="M666" s="262">
        <v>600</v>
      </c>
      <c r="N666" s="262">
        <v>600</v>
      </c>
      <c r="O666" s="262">
        <v>600</v>
      </c>
      <c r="P666" s="262">
        <v>600</v>
      </c>
      <c r="Q666" s="262">
        <v>600</v>
      </c>
      <c r="R666" s="262">
        <v>600</v>
      </c>
      <c r="S666" s="262">
        <v>600</v>
      </c>
      <c r="T666" s="262">
        <v>600</v>
      </c>
      <c r="U666" s="262">
        <v>600</v>
      </c>
      <c r="V666" s="262">
        <v>600</v>
      </c>
      <c r="W666" s="262">
        <v>600</v>
      </c>
      <c r="X666" s="262">
        <v>600</v>
      </c>
      <c r="Y666" s="262">
        <f t="shared" si="11"/>
        <v>7200</v>
      </c>
    </row>
    <row r="667" spans="1:25" s="261" customFormat="1" ht="11.25" customHeight="1">
      <c r="A667" s="261">
        <v>2014</v>
      </c>
      <c r="B667" s="261" t="s">
        <v>573</v>
      </c>
      <c r="C667" s="261" t="s">
        <v>32</v>
      </c>
      <c r="D667" s="9" t="s">
        <v>32</v>
      </c>
      <c r="E667" s="261" t="s">
        <v>18</v>
      </c>
      <c r="F667" s="261" t="s">
        <v>193</v>
      </c>
      <c r="G667" s="9" t="s">
        <v>442</v>
      </c>
      <c r="H667" s="9" t="s">
        <v>18</v>
      </c>
      <c r="I667" s="9" t="s">
        <v>18</v>
      </c>
      <c r="J667" s="9" t="s">
        <v>44</v>
      </c>
      <c r="K667" s="261" t="s">
        <v>201</v>
      </c>
      <c r="M667" s="262">
        <v>600</v>
      </c>
      <c r="N667" s="262">
        <v>600</v>
      </c>
      <c r="O667" s="262">
        <v>600</v>
      </c>
      <c r="P667" s="262">
        <v>600</v>
      </c>
      <c r="Q667" s="262">
        <v>600</v>
      </c>
      <c r="R667" s="262">
        <v>600</v>
      </c>
      <c r="S667" s="262">
        <v>600</v>
      </c>
      <c r="T667" s="262">
        <v>600</v>
      </c>
      <c r="U667" s="262">
        <v>600</v>
      </c>
      <c r="V667" s="262">
        <v>600</v>
      </c>
      <c r="W667" s="262">
        <v>600</v>
      </c>
      <c r="X667" s="262">
        <v>600</v>
      </c>
      <c r="Y667" s="262">
        <f t="shared" si="11"/>
        <v>7200</v>
      </c>
    </row>
    <row r="668" spans="1:25" s="261" customFormat="1" ht="11.25" customHeight="1">
      <c r="A668" s="261">
        <v>2014</v>
      </c>
      <c r="B668" s="261" t="s">
        <v>573</v>
      </c>
      <c r="C668" s="261" t="s">
        <v>32</v>
      </c>
      <c r="D668" s="9" t="s">
        <v>32</v>
      </c>
      <c r="E668" s="261" t="s">
        <v>18</v>
      </c>
      <c r="F668" s="261" t="s">
        <v>193</v>
      </c>
      <c r="G668" s="9" t="s">
        <v>442</v>
      </c>
      <c r="H668" s="9" t="s">
        <v>18</v>
      </c>
      <c r="I668" s="9" t="s">
        <v>18</v>
      </c>
      <c r="J668" s="9" t="s">
        <v>44</v>
      </c>
      <c r="M668" s="262"/>
      <c r="N668" s="262"/>
      <c r="O668" s="262"/>
      <c r="P668" s="262"/>
      <c r="Q668" s="262">
        <v>600</v>
      </c>
      <c r="R668" s="262">
        <v>600</v>
      </c>
      <c r="S668" s="262">
        <v>600</v>
      </c>
      <c r="T668" s="262">
        <v>600</v>
      </c>
      <c r="U668" s="262">
        <v>600</v>
      </c>
      <c r="V668" s="262">
        <v>600</v>
      </c>
      <c r="W668" s="262">
        <v>600</v>
      </c>
      <c r="X668" s="262">
        <v>600</v>
      </c>
      <c r="Y668" s="262">
        <f t="shared" si="11"/>
        <v>4800</v>
      </c>
    </row>
    <row r="669" spans="1:25" s="261" customFormat="1" ht="11.25" customHeight="1">
      <c r="A669" s="261">
        <v>2014</v>
      </c>
      <c r="B669" s="261" t="s">
        <v>574</v>
      </c>
      <c r="C669" s="261" t="s">
        <v>32</v>
      </c>
      <c r="D669" s="9" t="s">
        <v>32</v>
      </c>
      <c r="E669" s="261" t="s">
        <v>45</v>
      </c>
      <c r="F669" s="261" t="s">
        <v>193</v>
      </c>
      <c r="G669" s="9" t="s">
        <v>442</v>
      </c>
      <c r="H669" s="9" t="s">
        <v>45</v>
      </c>
      <c r="I669" s="9" t="s">
        <v>45</v>
      </c>
      <c r="J669" s="9" t="s">
        <v>46</v>
      </c>
      <c r="M669" s="262">
        <v>4728</v>
      </c>
      <c r="N669" s="262">
        <v>4900</v>
      </c>
      <c r="O669" s="262">
        <v>6600</v>
      </c>
      <c r="P669" s="262">
        <v>7050</v>
      </c>
      <c r="Q669" s="262">
        <v>26370</v>
      </c>
      <c r="R669" s="262">
        <v>14500</v>
      </c>
      <c r="S669" s="262">
        <v>11600</v>
      </c>
      <c r="T669" s="262">
        <v>9300</v>
      </c>
      <c r="U669" s="262">
        <v>4200</v>
      </c>
      <c r="V669" s="262">
        <v>4200</v>
      </c>
      <c r="W669" s="262">
        <v>4100</v>
      </c>
      <c r="X669" s="262">
        <v>4350</v>
      </c>
      <c r="Y669" s="262">
        <f t="shared" si="11"/>
        <v>101898</v>
      </c>
    </row>
    <row r="670" spans="1:25" s="261" customFormat="1" ht="11.25" customHeight="1">
      <c r="A670" s="261">
        <v>2014</v>
      </c>
      <c r="B670" s="261" t="s">
        <v>573</v>
      </c>
      <c r="C670" s="261" t="s">
        <v>32</v>
      </c>
      <c r="D670" s="9" t="s">
        <v>32</v>
      </c>
      <c r="E670" s="261" t="s">
        <v>12</v>
      </c>
      <c r="F670" s="261" t="s">
        <v>193</v>
      </c>
      <c r="G670" s="9" t="s">
        <v>442</v>
      </c>
      <c r="H670" s="9" t="s">
        <v>12</v>
      </c>
      <c r="I670" s="9" t="s">
        <v>12</v>
      </c>
      <c r="J670" s="9" t="s">
        <v>134</v>
      </c>
      <c r="M670" s="262">
        <v>110</v>
      </c>
      <c r="N670" s="262">
        <v>110</v>
      </c>
      <c r="O670" s="262">
        <v>110</v>
      </c>
      <c r="P670" s="262">
        <v>110</v>
      </c>
      <c r="Q670" s="262">
        <v>110</v>
      </c>
      <c r="R670" s="262">
        <v>110</v>
      </c>
      <c r="S670" s="262">
        <v>110</v>
      </c>
      <c r="T670" s="262">
        <v>110</v>
      </c>
      <c r="U670" s="262">
        <v>110</v>
      </c>
      <c r="V670" s="262">
        <v>110</v>
      </c>
      <c r="W670" s="262">
        <v>110</v>
      </c>
      <c r="X670" s="262">
        <v>110</v>
      </c>
      <c r="Y670" s="262">
        <f t="shared" si="11"/>
        <v>1320</v>
      </c>
    </row>
    <row r="671" spans="1:25" s="261" customFormat="1" ht="11.25" customHeight="1">
      <c r="A671" s="261">
        <v>2014</v>
      </c>
      <c r="B671" s="261" t="s">
        <v>573</v>
      </c>
      <c r="C671" s="261" t="s">
        <v>32</v>
      </c>
      <c r="D671" s="9" t="s">
        <v>32</v>
      </c>
      <c r="E671" s="261" t="s">
        <v>12</v>
      </c>
      <c r="F671" s="261" t="s">
        <v>193</v>
      </c>
      <c r="G671" s="9" t="s">
        <v>442</v>
      </c>
      <c r="H671" s="9" t="s">
        <v>12</v>
      </c>
      <c r="I671" s="9" t="s">
        <v>12</v>
      </c>
      <c r="J671" s="9" t="s">
        <v>13</v>
      </c>
      <c r="K671" s="261" t="s">
        <v>196</v>
      </c>
      <c r="M671" s="262">
        <v>41</v>
      </c>
      <c r="N671" s="262">
        <v>41</v>
      </c>
      <c r="O671" s="262">
        <v>41</v>
      </c>
      <c r="P671" s="262">
        <v>41</v>
      </c>
      <c r="Q671" s="262">
        <v>41</v>
      </c>
      <c r="R671" s="262">
        <v>41</v>
      </c>
      <c r="S671" s="262">
        <v>41</v>
      </c>
      <c r="T671" s="262">
        <v>41</v>
      </c>
      <c r="U671" s="262">
        <v>41</v>
      </c>
      <c r="V671" s="262">
        <v>41</v>
      </c>
      <c r="W671" s="262">
        <v>41</v>
      </c>
      <c r="X671" s="262">
        <v>41</v>
      </c>
      <c r="Y671" s="262">
        <f t="shared" si="11"/>
        <v>492</v>
      </c>
    </row>
    <row r="672" spans="1:25" s="261" customFormat="1" ht="11.25" customHeight="1">
      <c r="A672" s="261">
        <v>2014</v>
      </c>
      <c r="B672" s="261" t="s">
        <v>573</v>
      </c>
      <c r="C672" s="261" t="s">
        <v>32</v>
      </c>
      <c r="D672" s="9" t="s">
        <v>32</v>
      </c>
      <c r="E672" s="261" t="s">
        <v>12</v>
      </c>
      <c r="F672" s="261" t="s">
        <v>193</v>
      </c>
      <c r="G672" s="9" t="s">
        <v>442</v>
      </c>
      <c r="H672" s="9" t="s">
        <v>12</v>
      </c>
      <c r="I672" s="9" t="s">
        <v>12</v>
      </c>
      <c r="J672" s="9" t="s">
        <v>13</v>
      </c>
      <c r="K672" s="261" t="s">
        <v>194</v>
      </c>
      <c r="M672" s="262">
        <v>91</v>
      </c>
      <c r="N672" s="262">
        <v>91</v>
      </c>
      <c r="O672" s="262">
        <v>91</v>
      </c>
      <c r="P672" s="262">
        <v>91</v>
      </c>
      <c r="Q672" s="262">
        <v>91</v>
      </c>
      <c r="R672" s="262">
        <v>91</v>
      </c>
      <c r="S672" s="262">
        <v>91</v>
      </c>
      <c r="T672" s="262">
        <v>91</v>
      </c>
      <c r="U672" s="262">
        <v>91</v>
      </c>
      <c r="V672" s="262">
        <v>91</v>
      </c>
      <c r="W672" s="262">
        <v>91</v>
      </c>
      <c r="X672" s="262">
        <v>91</v>
      </c>
      <c r="Y672" s="262">
        <f t="shared" si="11"/>
        <v>1092</v>
      </c>
    </row>
    <row r="673" spans="1:25" s="261" customFormat="1" ht="11.25" customHeight="1">
      <c r="A673" s="261">
        <v>2014</v>
      </c>
      <c r="B673" s="261" t="s">
        <v>573</v>
      </c>
      <c r="C673" s="261" t="s">
        <v>32</v>
      </c>
      <c r="D673" s="9" t="s">
        <v>32</v>
      </c>
      <c r="E673" s="261" t="s">
        <v>12</v>
      </c>
      <c r="F673" s="261" t="s">
        <v>193</v>
      </c>
      <c r="G673" s="9" t="s">
        <v>442</v>
      </c>
      <c r="H673" s="9" t="s">
        <v>12</v>
      </c>
      <c r="I673" s="9" t="s">
        <v>12</v>
      </c>
      <c r="J673" s="9" t="s">
        <v>13</v>
      </c>
      <c r="K673" s="261" t="s">
        <v>195</v>
      </c>
      <c r="M673" s="262">
        <v>41</v>
      </c>
      <c r="N673" s="262">
        <v>41</v>
      </c>
      <c r="O673" s="262">
        <v>41</v>
      </c>
      <c r="P673" s="262">
        <v>41</v>
      </c>
      <c r="Q673" s="262">
        <v>41</v>
      </c>
      <c r="R673" s="262">
        <v>41</v>
      </c>
      <c r="S673" s="262">
        <v>41</v>
      </c>
      <c r="T673" s="262">
        <v>41</v>
      </c>
      <c r="U673" s="262">
        <v>41</v>
      </c>
      <c r="V673" s="262">
        <v>41</v>
      </c>
      <c r="W673" s="262">
        <v>41</v>
      </c>
      <c r="X673" s="262">
        <v>41</v>
      </c>
      <c r="Y673" s="262">
        <f t="shared" si="11"/>
        <v>492</v>
      </c>
    </row>
    <row r="674" spans="1:25" s="261" customFormat="1" ht="11.25" customHeight="1">
      <c r="A674" s="261">
        <v>2014</v>
      </c>
      <c r="B674" s="261" t="s">
        <v>573</v>
      </c>
      <c r="C674" s="261" t="s">
        <v>32</v>
      </c>
      <c r="D674" s="9" t="s">
        <v>32</v>
      </c>
      <c r="E674" s="261" t="s">
        <v>12</v>
      </c>
      <c r="F674" s="261" t="s">
        <v>193</v>
      </c>
      <c r="G674" s="9" t="s">
        <v>442</v>
      </c>
      <c r="H674" s="9" t="s">
        <v>12</v>
      </c>
      <c r="I674" s="9" t="s">
        <v>12</v>
      </c>
      <c r="J674" s="9" t="s">
        <v>13</v>
      </c>
      <c r="K674" s="261" t="s">
        <v>198</v>
      </c>
      <c r="M674" s="262">
        <v>200</v>
      </c>
      <c r="N674" s="262">
        <v>200</v>
      </c>
      <c r="O674" s="262">
        <v>200</v>
      </c>
      <c r="P674" s="262">
        <v>200</v>
      </c>
      <c r="Q674" s="262">
        <v>200</v>
      </c>
      <c r="R674" s="262">
        <v>200</v>
      </c>
      <c r="S674" s="262">
        <v>200</v>
      </c>
      <c r="T674" s="262">
        <v>200</v>
      </c>
      <c r="U674" s="262">
        <v>200</v>
      </c>
      <c r="V674" s="262">
        <v>200</v>
      </c>
      <c r="W674" s="262">
        <v>200</v>
      </c>
      <c r="X674" s="262">
        <v>200</v>
      </c>
      <c r="Y674" s="262">
        <f t="shared" si="11"/>
        <v>2400</v>
      </c>
    </row>
    <row r="675" spans="1:25" s="261" customFormat="1" ht="11.25" customHeight="1">
      <c r="A675" s="261">
        <v>2014</v>
      </c>
      <c r="B675" s="261" t="s">
        <v>573</v>
      </c>
      <c r="C675" s="261" t="s">
        <v>32</v>
      </c>
      <c r="D675" s="9" t="s">
        <v>32</v>
      </c>
      <c r="E675" s="261" t="s">
        <v>12</v>
      </c>
      <c r="F675" s="261" t="s">
        <v>193</v>
      </c>
      <c r="G675" s="9" t="s">
        <v>442</v>
      </c>
      <c r="H675" s="9" t="s">
        <v>12</v>
      </c>
      <c r="I675" s="9" t="s">
        <v>12</v>
      </c>
      <c r="J675" s="9" t="s">
        <v>13</v>
      </c>
      <c r="K675" s="261" t="s">
        <v>197</v>
      </c>
      <c r="M675" s="262">
        <v>41</v>
      </c>
      <c r="N675" s="262">
        <v>41</v>
      </c>
      <c r="O675" s="262">
        <v>41</v>
      </c>
      <c r="P675" s="262">
        <v>41</v>
      </c>
      <c r="Q675" s="262">
        <v>41</v>
      </c>
      <c r="R675" s="262">
        <v>41</v>
      </c>
      <c r="S675" s="262">
        <v>41</v>
      </c>
      <c r="T675" s="262">
        <v>41</v>
      </c>
      <c r="U675" s="262">
        <v>41</v>
      </c>
      <c r="V675" s="262">
        <v>41</v>
      </c>
      <c r="W675" s="262">
        <v>41</v>
      </c>
      <c r="X675" s="262">
        <v>41</v>
      </c>
      <c r="Y675" s="262">
        <f t="shared" si="11"/>
        <v>492</v>
      </c>
    </row>
    <row r="676" spans="1:25" s="261" customFormat="1" ht="11.25" customHeight="1">
      <c r="A676" s="261">
        <v>2014</v>
      </c>
      <c r="B676" s="261" t="s">
        <v>573</v>
      </c>
      <c r="C676" s="261" t="s">
        <v>32</v>
      </c>
      <c r="D676" s="9" t="s">
        <v>32</v>
      </c>
      <c r="E676" s="261" t="s">
        <v>12</v>
      </c>
      <c r="F676" s="261" t="s">
        <v>193</v>
      </c>
      <c r="G676" s="9" t="s">
        <v>442</v>
      </c>
      <c r="H676" s="9" t="s">
        <v>12</v>
      </c>
      <c r="I676" s="9" t="s">
        <v>12</v>
      </c>
      <c r="J676" s="9" t="s">
        <v>13</v>
      </c>
      <c r="K676" s="261" t="s">
        <v>202</v>
      </c>
      <c r="M676" s="262">
        <v>91</v>
      </c>
      <c r="N676" s="262">
        <v>91</v>
      </c>
      <c r="O676" s="262">
        <v>91</v>
      </c>
      <c r="P676" s="262">
        <v>91</v>
      </c>
      <c r="Q676" s="262">
        <v>91</v>
      </c>
      <c r="R676" s="262">
        <v>91</v>
      </c>
      <c r="S676" s="262">
        <v>91</v>
      </c>
      <c r="T676" s="262">
        <v>91</v>
      </c>
      <c r="U676" s="262">
        <v>91</v>
      </c>
      <c r="V676" s="262">
        <v>91</v>
      </c>
      <c r="W676" s="262">
        <v>91</v>
      </c>
      <c r="X676" s="262">
        <v>91</v>
      </c>
      <c r="Y676" s="262">
        <f t="shared" si="11"/>
        <v>1092</v>
      </c>
    </row>
    <row r="677" spans="1:25" s="261" customFormat="1" ht="11.25" customHeight="1">
      <c r="A677" s="261">
        <v>2014</v>
      </c>
      <c r="B677" s="261" t="s">
        <v>573</v>
      </c>
      <c r="C677" s="261" t="s">
        <v>32</v>
      </c>
      <c r="D677" s="9" t="s">
        <v>32</v>
      </c>
      <c r="E677" s="261" t="s">
        <v>12</v>
      </c>
      <c r="F677" s="261" t="s">
        <v>193</v>
      </c>
      <c r="G677" s="9" t="s">
        <v>442</v>
      </c>
      <c r="H677" s="9" t="s">
        <v>12</v>
      </c>
      <c r="I677" s="9" t="s">
        <v>12</v>
      </c>
      <c r="J677" s="9" t="s">
        <v>13</v>
      </c>
      <c r="K677" s="261" t="s">
        <v>200</v>
      </c>
      <c r="M677" s="262">
        <v>91</v>
      </c>
      <c r="N677" s="262">
        <v>91</v>
      </c>
      <c r="O677" s="262">
        <v>91</v>
      </c>
      <c r="P677" s="262">
        <v>91</v>
      </c>
      <c r="Q677" s="262">
        <v>91</v>
      </c>
      <c r="R677" s="262">
        <v>91</v>
      </c>
      <c r="S677" s="262">
        <v>91</v>
      </c>
      <c r="T677" s="262">
        <v>91</v>
      </c>
      <c r="U677" s="262">
        <v>91</v>
      </c>
      <c r="V677" s="262">
        <v>91</v>
      </c>
      <c r="W677" s="262">
        <v>91</v>
      </c>
      <c r="X677" s="262">
        <v>91</v>
      </c>
      <c r="Y677" s="262">
        <f t="shared" si="11"/>
        <v>1092</v>
      </c>
    </row>
    <row r="678" spans="1:25" s="261" customFormat="1" ht="11.25" customHeight="1">
      <c r="A678" s="261">
        <v>2014</v>
      </c>
      <c r="B678" s="261" t="s">
        <v>573</v>
      </c>
      <c r="C678" s="261" t="s">
        <v>32</v>
      </c>
      <c r="D678" s="9" t="s">
        <v>32</v>
      </c>
      <c r="E678" s="261" t="s">
        <v>12</v>
      </c>
      <c r="F678" s="261" t="s">
        <v>193</v>
      </c>
      <c r="G678" s="9" t="s">
        <v>442</v>
      </c>
      <c r="H678" s="9" t="s">
        <v>12</v>
      </c>
      <c r="I678" s="9" t="s">
        <v>12</v>
      </c>
      <c r="J678" s="9" t="s">
        <v>13</v>
      </c>
      <c r="K678" s="261" t="s">
        <v>199</v>
      </c>
      <c r="M678" s="262">
        <v>91</v>
      </c>
      <c r="N678" s="262">
        <v>91</v>
      </c>
      <c r="O678" s="262">
        <v>91</v>
      </c>
      <c r="P678" s="262">
        <v>91</v>
      </c>
      <c r="Q678" s="262">
        <v>91</v>
      </c>
      <c r="R678" s="262">
        <v>91</v>
      </c>
      <c r="S678" s="262">
        <v>91</v>
      </c>
      <c r="T678" s="262">
        <v>91</v>
      </c>
      <c r="U678" s="262">
        <v>91</v>
      </c>
      <c r="V678" s="262">
        <v>91</v>
      </c>
      <c r="W678" s="262">
        <v>91</v>
      </c>
      <c r="X678" s="262">
        <v>91</v>
      </c>
      <c r="Y678" s="262">
        <f t="shared" si="11"/>
        <v>1092</v>
      </c>
    </row>
    <row r="679" spans="1:25" s="261" customFormat="1" ht="11.25" customHeight="1">
      <c r="A679" s="261">
        <v>2014</v>
      </c>
      <c r="B679" s="261" t="s">
        <v>573</v>
      </c>
      <c r="C679" s="261" t="s">
        <v>32</v>
      </c>
      <c r="D679" s="9" t="s">
        <v>32</v>
      </c>
      <c r="E679" s="261" t="s">
        <v>12</v>
      </c>
      <c r="F679" s="261" t="s">
        <v>193</v>
      </c>
      <c r="G679" s="9" t="s">
        <v>442</v>
      </c>
      <c r="H679" s="9" t="s">
        <v>12</v>
      </c>
      <c r="I679" s="9" t="s">
        <v>12</v>
      </c>
      <c r="J679" s="9" t="s">
        <v>13</v>
      </c>
      <c r="M679" s="262">
        <v>41</v>
      </c>
      <c r="N679" s="262">
        <v>41</v>
      </c>
      <c r="O679" s="262">
        <v>41</v>
      </c>
      <c r="P679" s="262">
        <v>41</v>
      </c>
      <c r="Q679" s="262">
        <v>41</v>
      </c>
      <c r="R679" s="262">
        <v>41</v>
      </c>
      <c r="S679" s="262">
        <v>41</v>
      </c>
      <c r="T679" s="262">
        <v>41</v>
      </c>
      <c r="U679" s="262">
        <v>41</v>
      </c>
      <c r="V679" s="262">
        <v>41</v>
      </c>
      <c r="W679" s="262">
        <v>41</v>
      </c>
      <c r="X679" s="262">
        <v>41</v>
      </c>
      <c r="Y679" s="262">
        <f t="shared" si="11"/>
        <v>492</v>
      </c>
    </row>
    <row r="680" spans="1:25" s="261" customFormat="1" ht="11.25" customHeight="1">
      <c r="A680" s="261">
        <v>2014</v>
      </c>
      <c r="B680" s="261" t="s">
        <v>573</v>
      </c>
      <c r="C680" s="261" t="s">
        <v>32</v>
      </c>
      <c r="D680" s="9" t="s">
        <v>32</v>
      </c>
      <c r="E680" s="261" t="s">
        <v>148</v>
      </c>
      <c r="F680" s="261" t="s">
        <v>186</v>
      </c>
      <c r="G680" s="9" t="s">
        <v>442</v>
      </c>
      <c r="H680" s="9" t="s">
        <v>148</v>
      </c>
      <c r="I680" s="9" t="s">
        <v>148</v>
      </c>
      <c r="J680" s="9" t="s">
        <v>148</v>
      </c>
      <c r="M680" s="262">
        <v>19700</v>
      </c>
      <c r="N680" s="262">
        <v>19700</v>
      </c>
      <c r="O680" s="262">
        <v>19700</v>
      </c>
      <c r="P680" s="262">
        <v>19700</v>
      </c>
      <c r="Q680" s="262">
        <v>19700</v>
      </c>
      <c r="R680" s="262">
        <v>19700</v>
      </c>
      <c r="S680" s="262">
        <v>19700</v>
      </c>
      <c r="T680" s="262">
        <v>19700</v>
      </c>
      <c r="U680" s="262">
        <v>19700</v>
      </c>
      <c r="V680" s="262">
        <v>19700</v>
      </c>
      <c r="W680" s="262">
        <v>19700</v>
      </c>
      <c r="X680" s="262">
        <v>19700</v>
      </c>
      <c r="Y680" s="262">
        <f t="shared" si="11"/>
        <v>236400</v>
      </c>
    </row>
    <row r="681" spans="1:25" s="261" customFormat="1" ht="11.25" customHeight="1">
      <c r="A681" s="261">
        <v>2014</v>
      </c>
      <c r="B681" s="261" t="s">
        <v>573</v>
      </c>
      <c r="C681" s="261" t="s">
        <v>32</v>
      </c>
      <c r="D681" s="9" t="s">
        <v>32</v>
      </c>
      <c r="E681" s="261" t="s">
        <v>37</v>
      </c>
      <c r="F681" s="261" t="s">
        <v>186</v>
      </c>
      <c r="G681" s="9" t="s">
        <v>442</v>
      </c>
      <c r="H681" s="9" t="s">
        <v>37</v>
      </c>
      <c r="I681" s="9" t="s">
        <v>37</v>
      </c>
      <c r="J681" s="9" t="s">
        <v>37</v>
      </c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>
        <f t="shared" si="11"/>
        <v>0</v>
      </c>
    </row>
    <row r="682" spans="1:25" s="261" customFormat="1" ht="11.25" customHeight="1">
      <c r="A682" s="261">
        <v>2014</v>
      </c>
      <c r="B682" s="261" t="s">
        <v>573</v>
      </c>
      <c r="C682" s="261" t="s">
        <v>32</v>
      </c>
      <c r="D682" s="9" t="s">
        <v>32</v>
      </c>
      <c r="E682" s="261" t="s">
        <v>27</v>
      </c>
      <c r="F682" s="261" t="s">
        <v>186</v>
      </c>
      <c r="G682" s="9" t="s">
        <v>442</v>
      </c>
      <c r="H682" s="9" t="s">
        <v>27</v>
      </c>
      <c r="I682" s="9" t="s">
        <v>27</v>
      </c>
      <c r="J682" s="9" t="s">
        <v>28</v>
      </c>
      <c r="M682" s="262">
        <v>500</v>
      </c>
      <c r="N682" s="262">
        <v>500</v>
      </c>
      <c r="O682" s="262">
        <v>500</v>
      </c>
      <c r="P682" s="262">
        <v>500</v>
      </c>
      <c r="Q682" s="262">
        <v>500</v>
      </c>
      <c r="R682" s="262">
        <v>500</v>
      </c>
      <c r="S682" s="262">
        <v>500</v>
      </c>
      <c r="T682" s="262">
        <v>500</v>
      </c>
      <c r="U682" s="262">
        <v>500</v>
      </c>
      <c r="V682" s="262">
        <v>500</v>
      </c>
      <c r="W682" s="262">
        <v>500</v>
      </c>
      <c r="X682" s="262">
        <v>500</v>
      </c>
      <c r="Y682" s="262">
        <f t="shared" si="11"/>
        <v>6000</v>
      </c>
    </row>
    <row r="683" spans="1:25" s="261" customFormat="1" ht="11.25" customHeight="1">
      <c r="A683" s="261">
        <v>2014</v>
      </c>
      <c r="B683" s="261" t="s">
        <v>573</v>
      </c>
      <c r="C683" s="261" t="s">
        <v>32</v>
      </c>
      <c r="D683" s="9" t="s">
        <v>32</v>
      </c>
      <c r="E683" s="261" t="s">
        <v>27</v>
      </c>
      <c r="F683" s="261" t="s">
        <v>186</v>
      </c>
      <c r="G683" s="9" t="s">
        <v>442</v>
      </c>
      <c r="H683" s="9" t="s">
        <v>27</v>
      </c>
      <c r="I683" s="9" t="s">
        <v>27</v>
      </c>
      <c r="J683" s="9" t="s">
        <v>60</v>
      </c>
      <c r="M683" s="262">
        <v>300</v>
      </c>
      <c r="N683" s="262">
        <v>300</v>
      </c>
      <c r="O683" s="262">
        <v>300</v>
      </c>
      <c r="P683" s="262">
        <v>300</v>
      </c>
      <c r="Q683" s="262">
        <v>300</v>
      </c>
      <c r="R683" s="262">
        <v>300</v>
      </c>
      <c r="S683" s="262">
        <v>300</v>
      </c>
      <c r="T683" s="262">
        <v>300</v>
      </c>
      <c r="U683" s="262">
        <v>300</v>
      </c>
      <c r="V683" s="262">
        <v>300</v>
      </c>
      <c r="W683" s="262">
        <v>300</v>
      </c>
      <c r="X683" s="262">
        <v>300</v>
      </c>
      <c r="Y683" s="262">
        <f t="shared" si="11"/>
        <v>3600</v>
      </c>
    </row>
    <row r="684" spans="1:25" s="261" customFormat="1" ht="11.25" customHeight="1">
      <c r="A684" s="261">
        <v>2014</v>
      </c>
      <c r="B684" s="261" t="s">
        <v>573</v>
      </c>
      <c r="C684" s="261" t="s">
        <v>32</v>
      </c>
      <c r="D684" s="9" t="s">
        <v>32</v>
      </c>
      <c r="E684" s="261" t="s">
        <v>149</v>
      </c>
      <c r="F684" s="261" t="s">
        <v>186</v>
      </c>
      <c r="G684" s="9" t="s">
        <v>442</v>
      </c>
      <c r="H684" s="9" t="s">
        <v>149</v>
      </c>
      <c r="I684" s="9" t="s">
        <v>149</v>
      </c>
      <c r="J684" s="9" t="s">
        <v>150</v>
      </c>
      <c r="M684" s="262">
        <v>1627.37</v>
      </c>
      <c r="N684" s="262">
        <v>1627.37</v>
      </c>
      <c r="O684" s="262">
        <v>1627.37</v>
      </c>
      <c r="P684" s="262">
        <v>1627.37</v>
      </c>
      <c r="Q684" s="262">
        <v>1627.37</v>
      </c>
      <c r="R684" s="262">
        <v>1627.37</v>
      </c>
      <c r="S684" s="262">
        <v>1627.37</v>
      </c>
      <c r="T684" s="262">
        <v>1627.37</v>
      </c>
      <c r="U684" s="262">
        <v>1627.37</v>
      </c>
      <c r="V684" s="262">
        <v>1627.37</v>
      </c>
      <c r="W684" s="262">
        <v>1627.37</v>
      </c>
      <c r="X684" s="262">
        <v>1627.37</v>
      </c>
      <c r="Y684" s="262">
        <f t="shared" si="11"/>
        <v>19528.439999999995</v>
      </c>
    </row>
    <row r="685" spans="1:25" s="261" customFormat="1" ht="11.25" customHeight="1">
      <c r="A685" s="261">
        <v>2014</v>
      </c>
      <c r="B685" s="261" t="s">
        <v>573</v>
      </c>
      <c r="C685" s="261" t="s">
        <v>32</v>
      </c>
      <c r="D685" s="9" t="s">
        <v>32</v>
      </c>
      <c r="E685" s="261" t="s">
        <v>18</v>
      </c>
      <c r="F685" s="261" t="s">
        <v>186</v>
      </c>
      <c r="G685" s="9" t="s">
        <v>442</v>
      </c>
      <c r="H685" s="9" t="s">
        <v>18</v>
      </c>
      <c r="I685" s="9" t="s">
        <v>18</v>
      </c>
      <c r="J685" s="9" t="s">
        <v>43</v>
      </c>
      <c r="M685" s="262">
        <v>1450</v>
      </c>
      <c r="N685" s="262">
        <v>1450</v>
      </c>
      <c r="O685" s="262">
        <v>1450</v>
      </c>
      <c r="P685" s="262">
        <v>1450</v>
      </c>
      <c r="Q685" s="262">
        <v>1450</v>
      </c>
      <c r="R685" s="262">
        <v>1450</v>
      </c>
      <c r="S685" s="262">
        <v>1450</v>
      </c>
      <c r="T685" s="262">
        <v>1450</v>
      </c>
      <c r="U685" s="262">
        <v>1450</v>
      </c>
      <c r="V685" s="262">
        <v>1450</v>
      </c>
      <c r="W685" s="262">
        <v>1450</v>
      </c>
      <c r="X685" s="262">
        <v>1450</v>
      </c>
      <c r="Y685" s="262">
        <f t="shared" si="11"/>
        <v>17400</v>
      </c>
    </row>
    <row r="686" spans="1:25" s="261" customFormat="1" ht="11.25" customHeight="1">
      <c r="A686" s="261">
        <v>2014</v>
      </c>
      <c r="B686" s="261" t="s">
        <v>573</v>
      </c>
      <c r="C686" s="261" t="s">
        <v>32</v>
      </c>
      <c r="D686" s="9" t="s">
        <v>32</v>
      </c>
      <c r="E686" s="261" t="s">
        <v>18</v>
      </c>
      <c r="F686" s="261" t="s">
        <v>186</v>
      </c>
      <c r="G686" s="9" t="s">
        <v>442</v>
      </c>
      <c r="H686" s="9" t="s">
        <v>18</v>
      </c>
      <c r="I686" s="9" t="s">
        <v>18</v>
      </c>
      <c r="J686" s="9" t="s">
        <v>44</v>
      </c>
      <c r="K686" s="261" t="s">
        <v>187</v>
      </c>
      <c r="M686" s="262">
        <v>200</v>
      </c>
      <c r="N686" s="262">
        <v>200</v>
      </c>
      <c r="O686" s="262">
        <v>200</v>
      </c>
      <c r="P686" s="262">
        <v>200</v>
      </c>
      <c r="Q686" s="262">
        <v>200</v>
      </c>
      <c r="R686" s="262">
        <v>200</v>
      </c>
      <c r="S686" s="262">
        <v>200</v>
      </c>
      <c r="T686" s="262">
        <v>200</v>
      </c>
      <c r="U686" s="262">
        <v>200</v>
      </c>
      <c r="V686" s="262">
        <v>200</v>
      </c>
      <c r="W686" s="262">
        <v>200</v>
      </c>
      <c r="X686" s="262">
        <v>200</v>
      </c>
      <c r="Y686" s="262">
        <f t="shared" si="11"/>
        <v>2400</v>
      </c>
    </row>
    <row r="687" spans="1:25" s="261" customFormat="1" ht="11.25" customHeight="1">
      <c r="A687" s="261">
        <v>2014</v>
      </c>
      <c r="B687" s="261" t="s">
        <v>573</v>
      </c>
      <c r="C687" s="261" t="s">
        <v>32</v>
      </c>
      <c r="D687" s="9" t="s">
        <v>32</v>
      </c>
      <c r="E687" s="261" t="s">
        <v>18</v>
      </c>
      <c r="F687" s="261" t="s">
        <v>186</v>
      </c>
      <c r="G687" s="9" t="s">
        <v>442</v>
      </c>
      <c r="H687" s="9" t="s">
        <v>18</v>
      </c>
      <c r="I687" s="9" t="s">
        <v>18</v>
      </c>
      <c r="J687" s="9" t="s">
        <v>44</v>
      </c>
      <c r="K687" s="261" t="s">
        <v>191</v>
      </c>
      <c r="M687" s="262">
        <v>200</v>
      </c>
      <c r="N687" s="262">
        <v>200</v>
      </c>
      <c r="O687" s="262">
        <v>200</v>
      </c>
      <c r="P687" s="262">
        <v>200</v>
      </c>
      <c r="Q687" s="262">
        <v>200</v>
      </c>
      <c r="R687" s="262">
        <v>200</v>
      </c>
      <c r="S687" s="262">
        <v>200</v>
      </c>
      <c r="T687" s="262">
        <v>200</v>
      </c>
      <c r="U687" s="262">
        <v>200</v>
      </c>
      <c r="V687" s="262">
        <v>200</v>
      </c>
      <c r="W687" s="262">
        <v>200</v>
      </c>
      <c r="X687" s="262">
        <v>200</v>
      </c>
      <c r="Y687" s="262">
        <f t="shared" si="11"/>
        <v>2400</v>
      </c>
    </row>
    <row r="688" spans="1:25" s="261" customFormat="1" ht="11.25" customHeight="1">
      <c r="A688" s="261">
        <v>2014</v>
      </c>
      <c r="B688" s="261" t="s">
        <v>573</v>
      </c>
      <c r="C688" s="261" t="s">
        <v>32</v>
      </c>
      <c r="D688" s="9" t="s">
        <v>32</v>
      </c>
      <c r="E688" s="261" t="s">
        <v>18</v>
      </c>
      <c r="F688" s="261" t="s">
        <v>186</v>
      </c>
      <c r="G688" s="9" t="s">
        <v>442</v>
      </c>
      <c r="H688" s="9" t="s">
        <v>18</v>
      </c>
      <c r="I688" s="9" t="s">
        <v>18</v>
      </c>
      <c r="J688" s="9" t="s">
        <v>44</v>
      </c>
      <c r="K688" s="261" t="s">
        <v>192</v>
      </c>
      <c r="M688" s="262">
        <v>200</v>
      </c>
      <c r="N688" s="262">
        <v>200</v>
      </c>
      <c r="O688" s="262">
        <v>200</v>
      </c>
      <c r="P688" s="262">
        <v>200</v>
      </c>
      <c r="Q688" s="262">
        <v>200</v>
      </c>
      <c r="R688" s="262">
        <v>200</v>
      </c>
      <c r="S688" s="262">
        <v>200</v>
      </c>
      <c r="T688" s="262">
        <v>200</v>
      </c>
      <c r="U688" s="262">
        <v>200</v>
      </c>
      <c r="V688" s="262">
        <v>200</v>
      </c>
      <c r="W688" s="262">
        <v>200</v>
      </c>
      <c r="X688" s="262">
        <v>200</v>
      </c>
      <c r="Y688" s="262">
        <f t="shared" si="11"/>
        <v>2400</v>
      </c>
    </row>
    <row r="689" spans="1:25" s="261" customFormat="1" ht="11.25" customHeight="1">
      <c r="A689" s="261">
        <v>2014</v>
      </c>
      <c r="B689" s="261" t="s">
        <v>573</v>
      </c>
      <c r="C689" s="261" t="s">
        <v>32</v>
      </c>
      <c r="D689" s="9" t="s">
        <v>32</v>
      </c>
      <c r="E689" s="261" t="s">
        <v>18</v>
      </c>
      <c r="F689" s="261" t="s">
        <v>186</v>
      </c>
      <c r="G689" s="9" t="s">
        <v>442</v>
      </c>
      <c r="H689" s="9" t="s">
        <v>18</v>
      </c>
      <c r="I689" s="9" t="s">
        <v>18</v>
      </c>
      <c r="J689" s="9" t="s">
        <v>44</v>
      </c>
      <c r="K689" s="261" t="s">
        <v>189</v>
      </c>
      <c r="M689" s="262">
        <v>200</v>
      </c>
      <c r="N689" s="262">
        <v>200</v>
      </c>
      <c r="O689" s="262">
        <v>200</v>
      </c>
      <c r="P689" s="262">
        <v>200</v>
      </c>
      <c r="Q689" s="262">
        <v>200</v>
      </c>
      <c r="R689" s="262">
        <v>200</v>
      </c>
      <c r="S689" s="262">
        <v>200</v>
      </c>
      <c r="T689" s="262">
        <v>200</v>
      </c>
      <c r="U689" s="262">
        <v>200</v>
      </c>
      <c r="V689" s="262">
        <v>200</v>
      </c>
      <c r="W689" s="262">
        <v>200</v>
      </c>
      <c r="X689" s="262">
        <v>200</v>
      </c>
      <c r="Y689" s="262">
        <f t="shared" si="11"/>
        <v>2400</v>
      </c>
    </row>
    <row r="690" spans="1:25" s="261" customFormat="1" ht="11.25" customHeight="1">
      <c r="A690" s="261">
        <v>2014</v>
      </c>
      <c r="B690" s="261" t="s">
        <v>573</v>
      </c>
      <c r="C690" s="261" t="s">
        <v>32</v>
      </c>
      <c r="D690" s="9" t="s">
        <v>32</v>
      </c>
      <c r="E690" s="261" t="s">
        <v>18</v>
      </c>
      <c r="F690" s="261" t="s">
        <v>186</v>
      </c>
      <c r="G690" s="9" t="s">
        <v>442</v>
      </c>
      <c r="H690" s="9" t="s">
        <v>18</v>
      </c>
      <c r="I690" s="9" t="s">
        <v>18</v>
      </c>
      <c r="J690" s="9" t="s">
        <v>44</v>
      </c>
      <c r="K690" s="261" t="s">
        <v>188</v>
      </c>
      <c r="M690" s="262">
        <v>200</v>
      </c>
      <c r="N690" s="262">
        <v>200</v>
      </c>
      <c r="O690" s="262">
        <v>200</v>
      </c>
      <c r="P690" s="262">
        <v>200</v>
      </c>
      <c r="Q690" s="262">
        <v>200</v>
      </c>
      <c r="R690" s="262">
        <v>200</v>
      </c>
      <c r="S690" s="262">
        <v>200</v>
      </c>
      <c r="T690" s="262">
        <v>200</v>
      </c>
      <c r="U690" s="262">
        <v>200</v>
      </c>
      <c r="V690" s="262">
        <v>200</v>
      </c>
      <c r="W690" s="262">
        <v>200</v>
      </c>
      <c r="X690" s="262">
        <v>200</v>
      </c>
      <c r="Y690" s="262">
        <f t="shared" si="11"/>
        <v>2400</v>
      </c>
    </row>
    <row r="691" spans="1:25" s="261" customFormat="1" ht="11.25" customHeight="1">
      <c r="A691" s="261">
        <v>2014</v>
      </c>
      <c r="B691" s="261" t="s">
        <v>573</v>
      </c>
      <c r="C691" s="261" t="s">
        <v>32</v>
      </c>
      <c r="D691" s="9" t="s">
        <v>32</v>
      </c>
      <c r="E691" s="261" t="s">
        <v>18</v>
      </c>
      <c r="F691" s="261" t="s">
        <v>186</v>
      </c>
      <c r="G691" s="9" t="s">
        <v>442</v>
      </c>
      <c r="H691" s="9" t="s">
        <v>18</v>
      </c>
      <c r="I691" s="9" t="s">
        <v>18</v>
      </c>
      <c r="J691" s="9" t="s">
        <v>44</v>
      </c>
      <c r="K691" s="261" t="s">
        <v>190</v>
      </c>
      <c r="M691" s="262">
        <v>200</v>
      </c>
      <c r="N691" s="262">
        <v>200</v>
      </c>
      <c r="O691" s="262">
        <v>200</v>
      </c>
      <c r="P691" s="262">
        <v>200</v>
      </c>
      <c r="Q691" s="262">
        <v>200</v>
      </c>
      <c r="R691" s="262">
        <v>200</v>
      </c>
      <c r="S691" s="262">
        <v>200</v>
      </c>
      <c r="T691" s="262">
        <v>200</v>
      </c>
      <c r="U691" s="262">
        <v>200</v>
      </c>
      <c r="V691" s="262">
        <v>200</v>
      </c>
      <c r="W691" s="262">
        <v>200</v>
      </c>
      <c r="X691" s="262">
        <v>200</v>
      </c>
      <c r="Y691" s="262">
        <f t="shared" si="11"/>
        <v>2400</v>
      </c>
    </row>
    <row r="692" spans="1:25" s="261" customFormat="1" ht="11.25" customHeight="1">
      <c r="A692" s="261">
        <v>2014</v>
      </c>
      <c r="B692" s="261" t="s">
        <v>573</v>
      </c>
      <c r="C692" s="261" t="s">
        <v>32</v>
      </c>
      <c r="D692" s="9" t="s">
        <v>32</v>
      </c>
      <c r="E692" s="261" t="s">
        <v>18</v>
      </c>
      <c r="F692" s="261" t="s">
        <v>186</v>
      </c>
      <c r="G692" s="9" t="s">
        <v>442</v>
      </c>
      <c r="H692" s="9" t="s">
        <v>18</v>
      </c>
      <c r="I692" s="9" t="s">
        <v>18</v>
      </c>
      <c r="J692" s="9" t="s">
        <v>44</v>
      </c>
      <c r="M692" s="262">
        <v>200</v>
      </c>
      <c r="N692" s="262">
        <v>200</v>
      </c>
      <c r="O692" s="262">
        <v>200</v>
      </c>
      <c r="P692" s="262">
        <v>200</v>
      </c>
      <c r="Q692" s="262">
        <v>200</v>
      </c>
      <c r="R692" s="262">
        <v>200</v>
      </c>
      <c r="S692" s="262">
        <v>200</v>
      </c>
      <c r="T692" s="262">
        <v>200</v>
      </c>
      <c r="U692" s="262">
        <v>200</v>
      </c>
      <c r="V692" s="262">
        <v>200</v>
      </c>
      <c r="W692" s="262">
        <v>200</v>
      </c>
      <c r="X692" s="262">
        <v>200</v>
      </c>
      <c r="Y692" s="262">
        <f t="shared" si="11"/>
        <v>2400</v>
      </c>
    </row>
    <row r="693" spans="1:25" s="261" customFormat="1" ht="11.25" customHeight="1">
      <c r="A693" s="261">
        <v>2014</v>
      </c>
      <c r="B693" s="261" t="s">
        <v>574</v>
      </c>
      <c r="C693" s="261" t="s">
        <v>32</v>
      </c>
      <c r="D693" s="9" t="s">
        <v>32</v>
      </c>
      <c r="E693" s="261" t="s">
        <v>45</v>
      </c>
      <c r="F693" s="261" t="s">
        <v>186</v>
      </c>
      <c r="G693" s="9" t="s">
        <v>442</v>
      </c>
      <c r="H693" s="9" t="s">
        <v>45</v>
      </c>
      <c r="I693" s="9" t="s">
        <v>45</v>
      </c>
      <c r="J693" s="9" t="s">
        <v>46</v>
      </c>
      <c r="M693" s="262">
        <v>4995</v>
      </c>
      <c r="N693" s="262">
        <v>4995</v>
      </c>
      <c r="O693" s="262">
        <v>4995</v>
      </c>
      <c r="P693" s="262">
        <v>5600</v>
      </c>
      <c r="Q693" s="262">
        <v>9000</v>
      </c>
      <c r="R693" s="262">
        <v>10000</v>
      </c>
      <c r="S693" s="262">
        <v>9000</v>
      </c>
      <c r="T693" s="262">
        <v>8000</v>
      </c>
      <c r="U693" s="262">
        <v>6000</v>
      </c>
      <c r="V693" s="262">
        <v>4800</v>
      </c>
      <c r="W693" s="262">
        <v>4500</v>
      </c>
      <c r="X693" s="262">
        <v>4500</v>
      </c>
      <c r="Y693" s="262">
        <f t="shared" si="11"/>
        <v>76385</v>
      </c>
    </row>
    <row r="694" spans="1:25" s="261" customFormat="1" ht="11.25" customHeight="1">
      <c r="A694" s="261">
        <v>2014</v>
      </c>
      <c r="B694" s="261" t="s">
        <v>573</v>
      </c>
      <c r="C694" s="261" t="s">
        <v>32</v>
      </c>
      <c r="D694" s="9" t="s">
        <v>9</v>
      </c>
      <c r="E694" s="261" t="s">
        <v>10</v>
      </c>
      <c r="F694" s="261" t="s">
        <v>186</v>
      </c>
      <c r="G694" s="9" t="s">
        <v>442</v>
      </c>
      <c r="H694" s="9" t="s">
        <v>9</v>
      </c>
      <c r="I694" s="9" t="s">
        <v>10</v>
      </c>
      <c r="J694" s="9" t="s">
        <v>15</v>
      </c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>
        <f t="shared" si="11"/>
        <v>0</v>
      </c>
    </row>
    <row r="695" spans="1:25" s="261" customFormat="1" ht="11.25" customHeight="1">
      <c r="A695" s="261">
        <v>2014</v>
      </c>
      <c r="B695" s="261" t="s">
        <v>573</v>
      </c>
      <c r="C695" s="261" t="s">
        <v>32</v>
      </c>
      <c r="D695" s="9" t="s">
        <v>32</v>
      </c>
      <c r="E695" s="261" t="s">
        <v>29</v>
      </c>
      <c r="F695" s="261" t="s">
        <v>186</v>
      </c>
      <c r="G695" s="9" t="s">
        <v>442</v>
      </c>
      <c r="H695" s="9" t="s">
        <v>29</v>
      </c>
      <c r="I695" s="9" t="s">
        <v>29</v>
      </c>
      <c r="J695" s="9" t="s">
        <v>30</v>
      </c>
      <c r="M695" s="262">
        <v>50</v>
      </c>
      <c r="N695" s="262">
        <v>50</v>
      </c>
      <c r="O695" s="262">
        <v>50</v>
      </c>
      <c r="P695" s="262">
        <v>50</v>
      </c>
      <c r="Q695" s="262">
        <v>50</v>
      </c>
      <c r="R695" s="262">
        <v>50</v>
      </c>
      <c r="S695" s="262">
        <v>50</v>
      </c>
      <c r="T695" s="262">
        <v>50</v>
      </c>
      <c r="U695" s="262">
        <v>50</v>
      </c>
      <c r="V695" s="262">
        <v>50</v>
      </c>
      <c r="W695" s="262">
        <v>50</v>
      </c>
      <c r="X695" s="262">
        <v>50</v>
      </c>
      <c r="Y695" s="262">
        <f t="shared" si="11"/>
        <v>600</v>
      </c>
    </row>
    <row r="696" spans="1:25" s="261" customFormat="1" ht="11.25" customHeight="1">
      <c r="A696" s="261">
        <v>2014</v>
      </c>
      <c r="B696" s="261" t="s">
        <v>573</v>
      </c>
      <c r="C696" s="261" t="s">
        <v>32</v>
      </c>
      <c r="D696" s="9" t="s">
        <v>32</v>
      </c>
      <c r="E696" s="261" t="s">
        <v>12</v>
      </c>
      <c r="F696" s="261" t="s">
        <v>186</v>
      </c>
      <c r="G696" s="9" t="s">
        <v>442</v>
      </c>
      <c r="H696" s="9" t="s">
        <v>12</v>
      </c>
      <c r="I696" s="9" t="s">
        <v>12</v>
      </c>
      <c r="J696" s="9" t="s">
        <v>13</v>
      </c>
      <c r="K696" s="261" t="s">
        <v>187</v>
      </c>
      <c r="M696" s="262">
        <v>91</v>
      </c>
      <c r="N696" s="262">
        <v>91</v>
      </c>
      <c r="O696" s="262">
        <v>91</v>
      </c>
      <c r="P696" s="262">
        <v>91</v>
      </c>
      <c r="Q696" s="262">
        <v>91</v>
      </c>
      <c r="R696" s="262">
        <v>91</v>
      </c>
      <c r="S696" s="262">
        <v>91</v>
      </c>
      <c r="T696" s="262">
        <v>91</v>
      </c>
      <c r="U696" s="262">
        <v>91</v>
      </c>
      <c r="V696" s="262">
        <v>91</v>
      </c>
      <c r="W696" s="262">
        <v>91</v>
      </c>
      <c r="X696" s="262">
        <v>91</v>
      </c>
      <c r="Y696" s="262">
        <f t="shared" si="11"/>
        <v>1092</v>
      </c>
    </row>
    <row r="697" spans="1:25" s="261" customFormat="1" ht="11.25" customHeight="1">
      <c r="A697" s="261">
        <v>2014</v>
      </c>
      <c r="B697" s="261" t="s">
        <v>573</v>
      </c>
      <c r="C697" s="261" t="s">
        <v>32</v>
      </c>
      <c r="D697" s="9" t="s">
        <v>32</v>
      </c>
      <c r="E697" s="261" t="s">
        <v>12</v>
      </c>
      <c r="F697" s="261" t="s">
        <v>186</v>
      </c>
      <c r="G697" s="9" t="s">
        <v>442</v>
      </c>
      <c r="H697" s="9" t="s">
        <v>12</v>
      </c>
      <c r="I697" s="9" t="s">
        <v>12</v>
      </c>
      <c r="J697" s="9" t="s">
        <v>13</v>
      </c>
      <c r="K697" s="261" t="s">
        <v>191</v>
      </c>
      <c r="M697" s="262">
        <v>61</v>
      </c>
      <c r="N697" s="262">
        <v>61</v>
      </c>
      <c r="O697" s="262">
        <v>61</v>
      </c>
      <c r="P697" s="262">
        <v>61</v>
      </c>
      <c r="Q697" s="262">
        <v>61</v>
      </c>
      <c r="R697" s="262">
        <v>61</v>
      </c>
      <c r="S697" s="262">
        <v>61</v>
      </c>
      <c r="T697" s="262">
        <v>61</v>
      </c>
      <c r="U697" s="262">
        <v>61</v>
      </c>
      <c r="V697" s="262">
        <v>61</v>
      </c>
      <c r="W697" s="262">
        <v>61</v>
      </c>
      <c r="X697" s="262">
        <v>61</v>
      </c>
      <c r="Y697" s="262">
        <f t="shared" si="11"/>
        <v>732</v>
      </c>
    </row>
    <row r="698" spans="1:25" s="261" customFormat="1" ht="11.25" customHeight="1">
      <c r="A698" s="261">
        <v>2014</v>
      </c>
      <c r="B698" s="261" t="s">
        <v>573</v>
      </c>
      <c r="C698" s="261" t="s">
        <v>32</v>
      </c>
      <c r="D698" s="9" t="s">
        <v>32</v>
      </c>
      <c r="E698" s="261" t="s">
        <v>12</v>
      </c>
      <c r="F698" s="261" t="s">
        <v>186</v>
      </c>
      <c r="G698" s="9" t="s">
        <v>442</v>
      </c>
      <c r="H698" s="9" t="s">
        <v>12</v>
      </c>
      <c r="I698" s="9" t="s">
        <v>12</v>
      </c>
      <c r="J698" s="9" t="s">
        <v>13</v>
      </c>
      <c r="K698" s="261" t="s">
        <v>192</v>
      </c>
      <c r="M698" s="262">
        <v>61</v>
      </c>
      <c r="N698" s="262">
        <v>61</v>
      </c>
      <c r="O698" s="262">
        <v>61</v>
      </c>
      <c r="P698" s="262">
        <v>61</v>
      </c>
      <c r="Q698" s="262">
        <v>61</v>
      </c>
      <c r="R698" s="262">
        <v>61</v>
      </c>
      <c r="S698" s="262">
        <v>61</v>
      </c>
      <c r="T698" s="262">
        <v>61</v>
      </c>
      <c r="U698" s="262">
        <v>61</v>
      </c>
      <c r="V698" s="262">
        <v>61</v>
      </c>
      <c r="W698" s="262">
        <v>61</v>
      </c>
      <c r="X698" s="262">
        <v>61</v>
      </c>
      <c r="Y698" s="262">
        <f t="shared" si="11"/>
        <v>732</v>
      </c>
    </row>
    <row r="699" spans="1:25" s="261" customFormat="1" ht="11.25" customHeight="1">
      <c r="A699" s="261">
        <v>2014</v>
      </c>
      <c r="B699" s="261" t="s">
        <v>573</v>
      </c>
      <c r="C699" s="261" t="s">
        <v>32</v>
      </c>
      <c r="D699" s="9" t="s">
        <v>32</v>
      </c>
      <c r="E699" s="261" t="s">
        <v>12</v>
      </c>
      <c r="F699" s="261" t="s">
        <v>186</v>
      </c>
      <c r="G699" s="9" t="s">
        <v>442</v>
      </c>
      <c r="H699" s="9" t="s">
        <v>12</v>
      </c>
      <c r="I699" s="9" t="s">
        <v>12</v>
      </c>
      <c r="J699" s="9" t="s">
        <v>13</v>
      </c>
      <c r="K699" s="261" t="s">
        <v>189</v>
      </c>
      <c r="M699" s="262">
        <v>91</v>
      </c>
      <c r="N699" s="262">
        <v>91</v>
      </c>
      <c r="O699" s="262">
        <v>91</v>
      </c>
      <c r="P699" s="262">
        <v>91</v>
      </c>
      <c r="Q699" s="262">
        <v>91</v>
      </c>
      <c r="R699" s="262">
        <v>91</v>
      </c>
      <c r="S699" s="262">
        <v>91</v>
      </c>
      <c r="T699" s="262">
        <v>91</v>
      </c>
      <c r="U699" s="262">
        <v>91</v>
      </c>
      <c r="V699" s="262">
        <v>91</v>
      </c>
      <c r="W699" s="262">
        <v>91</v>
      </c>
      <c r="X699" s="262">
        <v>91</v>
      </c>
      <c r="Y699" s="262">
        <f t="shared" si="11"/>
        <v>1092</v>
      </c>
    </row>
    <row r="700" spans="1:25" s="261" customFormat="1" ht="11.25" customHeight="1">
      <c r="A700" s="261">
        <v>2014</v>
      </c>
      <c r="B700" s="261" t="s">
        <v>573</v>
      </c>
      <c r="C700" s="261" t="s">
        <v>32</v>
      </c>
      <c r="D700" s="9" t="s">
        <v>32</v>
      </c>
      <c r="E700" s="261" t="s">
        <v>12</v>
      </c>
      <c r="F700" s="261" t="s">
        <v>186</v>
      </c>
      <c r="G700" s="9" t="s">
        <v>442</v>
      </c>
      <c r="H700" s="9" t="s">
        <v>12</v>
      </c>
      <c r="I700" s="9" t="s">
        <v>12</v>
      </c>
      <c r="J700" s="9" t="s">
        <v>13</v>
      </c>
      <c r="K700" s="261" t="s">
        <v>188</v>
      </c>
      <c r="M700" s="262">
        <v>91</v>
      </c>
      <c r="N700" s="262">
        <v>91</v>
      </c>
      <c r="O700" s="262">
        <v>91</v>
      </c>
      <c r="P700" s="262">
        <v>91</v>
      </c>
      <c r="Q700" s="262">
        <v>91</v>
      </c>
      <c r="R700" s="262">
        <v>91</v>
      </c>
      <c r="S700" s="262">
        <v>91</v>
      </c>
      <c r="T700" s="262">
        <v>91</v>
      </c>
      <c r="U700" s="262">
        <v>91</v>
      </c>
      <c r="V700" s="262">
        <v>91</v>
      </c>
      <c r="W700" s="262">
        <v>91</v>
      </c>
      <c r="X700" s="262">
        <v>91</v>
      </c>
      <c r="Y700" s="262">
        <f t="shared" si="11"/>
        <v>1092</v>
      </c>
    </row>
    <row r="701" spans="1:25" s="261" customFormat="1" ht="11.25" customHeight="1">
      <c r="A701" s="261">
        <v>2014</v>
      </c>
      <c r="B701" s="261" t="s">
        <v>573</v>
      </c>
      <c r="C701" s="261" t="s">
        <v>32</v>
      </c>
      <c r="D701" s="9" t="s">
        <v>32</v>
      </c>
      <c r="E701" s="261" t="s">
        <v>12</v>
      </c>
      <c r="F701" s="261" t="s">
        <v>186</v>
      </c>
      <c r="G701" s="9" t="s">
        <v>442</v>
      </c>
      <c r="H701" s="9" t="s">
        <v>12</v>
      </c>
      <c r="I701" s="9" t="s">
        <v>12</v>
      </c>
      <c r="J701" s="9" t="s">
        <v>13</v>
      </c>
      <c r="K701" s="261" t="s">
        <v>190</v>
      </c>
      <c r="M701" s="262">
        <v>61</v>
      </c>
      <c r="N701" s="262">
        <v>61</v>
      </c>
      <c r="O701" s="262">
        <v>61</v>
      </c>
      <c r="P701" s="262">
        <v>61</v>
      </c>
      <c r="Q701" s="262">
        <v>61</v>
      </c>
      <c r="R701" s="262">
        <v>61</v>
      </c>
      <c r="S701" s="262">
        <v>61</v>
      </c>
      <c r="T701" s="262">
        <v>61</v>
      </c>
      <c r="U701" s="262">
        <v>61</v>
      </c>
      <c r="V701" s="262">
        <v>61</v>
      </c>
      <c r="W701" s="262">
        <v>61</v>
      </c>
      <c r="X701" s="262">
        <v>61</v>
      </c>
      <c r="Y701" s="262">
        <f t="shared" si="11"/>
        <v>732</v>
      </c>
    </row>
    <row r="702" spans="1:25" s="261" customFormat="1" ht="11.25" customHeight="1">
      <c r="A702" s="261">
        <v>2014</v>
      </c>
      <c r="B702" s="261" t="s">
        <v>573</v>
      </c>
      <c r="C702" s="261" t="s">
        <v>32</v>
      </c>
      <c r="D702" s="9" t="s">
        <v>32</v>
      </c>
      <c r="E702" s="261" t="s">
        <v>12</v>
      </c>
      <c r="F702" s="261" t="s">
        <v>186</v>
      </c>
      <c r="G702" s="9" t="s">
        <v>442</v>
      </c>
      <c r="H702" s="9" t="s">
        <v>12</v>
      </c>
      <c r="I702" s="9" t="s">
        <v>12</v>
      </c>
      <c r="J702" s="9" t="s">
        <v>13</v>
      </c>
      <c r="M702" s="262">
        <v>261</v>
      </c>
      <c r="N702" s="262">
        <v>261</v>
      </c>
      <c r="O702" s="262">
        <v>261</v>
      </c>
      <c r="P702" s="262">
        <v>261</v>
      </c>
      <c r="Q702" s="262">
        <v>261</v>
      </c>
      <c r="R702" s="262">
        <v>261</v>
      </c>
      <c r="S702" s="262">
        <v>261</v>
      </c>
      <c r="T702" s="262">
        <v>261</v>
      </c>
      <c r="U702" s="262">
        <v>261</v>
      </c>
      <c r="V702" s="262">
        <v>261</v>
      </c>
      <c r="W702" s="262">
        <v>261</v>
      </c>
      <c r="X702" s="262">
        <v>261</v>
      </c>
      <c r="Y702" s="262">
        <f>SUM(M702:X702)</f>
        <v>3132</v>
      </c>
    </row>
    <row r="703" spans="1:25" s="261" customFormat="1" ht="11.25" customHeight="1">
      <c r="A703" s="261">
        <v>2014</v>
      </c>
      <c r="B703" s="261" t="s">
        <v>573</v>
      </c>
      <c r="C703" s="261" t="s">
        <v>32</v>
      </c>
      <c r="D703" s="9" t="s">
        <v>32</v>
      </c>
      <c r="E703" s="261" t="s">
        <v>12</v>
      </c>
      <c r="F703" s="261" t="s">
        <v>186</v>
      </c>
      <c r="G703" s="9" t="s">
        <v>442</v>
      </c>
      <c r="H703" s="9" t="s">
        <v>12</v>
      </c>
      <c r="I703" s="9" t="s">
        <v>12</v>
      </c>
      <c r="J703" s="9" t="s">
        <v>61</v>
      </c>
      <c r="M703" s="262">
        <v>400</v>
      </c>
      <c r="N703" s="262">
        <v>400</v>
      </c>
      <c r="O703" s="262">
        <v>400</v>
      </c>
      <c r="P703" s="262">
        <v>400</v>
      </c>
      <c r="Q703" s="262">
        <v>400</v>
      </c>
      <c r="R703" s="262">
        <v>400</v>
      </c>
      <c r="S703" s="262">
        <v>400</v>
      </c>
      <c r="T703" s="262">
        <v>400</v>
      </c>
      <c r="U703" s="262">
        <v>400</v>
      </c>
      <c r="V703" s="262">
        <v>400</v>
      </c>
      <c r="W703" s="262">
        <v>400</v>
      </c>
      <c r="X703" s="262">
        <v>400</v>
      </c>
      <c r="Y703" s="262">
        <f t="shared" si="11"/>
        <v>4800</v>
      </c>
    </row>
    <row r="704" spans="1:25" s="9" customFormat="1" ht="11.25" customHeight="1">
      <c r="A704" s="261">
        <v>2014</v>
      </c>
      <c r="B704" s="261" t="s">
        <v>573</v>
      </c>
      <c r="C704" s="9" t="s">
        <v>32</v>
      </c>
      <c r="D704" s="9" t="s">
        <v>32</v>
      </c>
      <c r="E704" s="9" t="s">
        <v>148</v>
      </c>
      <c r="F704" s="9" t="s">
        <v>245</v>
      </c>
      <c r="G704" s="9" t="s">
        <v>245</v>
      </c>
      <c r="H704" s="9" t="s">
        <v>148</v>
      </c>
      <c r="I704" s="9" t="s">
        <v>148</v>
      </c>
      <c r="J704" s="9" t="s">
        <v>148</v>
      </c>
      <c r="M704" s="10">
        <v>176680</v>
      </c>
      <c r="N704" s="10">
        <v>176680</v>
      </c>
      <c r="O704" s="10">
        <v>196690</v>
      </c>
      <c r="P704" s="10">
        <v>196690</v>
      </c>
      <c r="Q704" s="10">
        <v>196690</v>
      </c>
      <c r="R704" s="10">
        <v>196690</v>
      </c>
      <c r="S704" s="10">
        <v>196690</v>
      </c>
      <c r="T704" s="10">
        <v>196690</v>
      </c>
      <c r="U704" s="10">
        <v>196690</v>
      </c>
      <c r="V704" s="10">
        <v>196690</v>
      </c>
      <c r="W704" s="10">
        <v>196690</v>
      </c>
      <c r="X704" s="10">
        <v>196690</v>
      </c>
      <c r="Y704" s="10">
        <f>SUM(M704:X704)</f>
        <v>2320260</v>
      </c>
    </row>
    <row r="705" spans="1:25" s="9" customFormat="1" ht="11.25" customHeight="1">
      <c r="A705" s="261">
        <v>2014</v>
      </c>
      <c r="B705" s="261" t="s">
        <v>573</v>
      </c>
      <c r="C705" s="9" t="s">
        <v>32</v>
      </c>
      <c r="D705" s="9" t="s">
        <v>32</v>
      </c>
      <c r="E705" s="9" t="s">
        <v>37</v>
      </c>
      <c r="F705" s="9" t="s">
        <v>245</v>
      </c>
      <c r="G705" s="9" t="s">
        <v>245</v>
      </c>
      <c r="H705" s="9" t="s">
        <v>37</v>
      </c>
      <c r="I705" s="9" t="s">
        <v>37</v>
      </c>
      <c r="J705" s="9" t="s">
        <v>37</v>
      </c>
      <c r="K705" s="9" t="s">
        <v>304</v>
      </c>
      <c r="M705" s="10">
        <v>1600</v>
      </c>
      <c r="N705" s="10">
        <v>1600</v>
      </c>
      <c r="O705" s="10">
        <v>1600</v>
      </c>
      <c r="P705" s="10">
        <v>1600</v>
      </c>
      <c r="Q705" s="10">
        <v>1600</v>
      </c>
      <c r="R705" s="10">
        <v>1600</v>
      </c>
      <c r="S705" s="10">
        <v>1600</v>
      </c>
      <c r="T705" s="10">
        <v>1600</v>
      </c>
      <c r="U705" s="10">
        <v>1600</v>
      </c>
      <c r="V705" s="10">
        <v>1600</v>
      </c>
      <c r="W705" s="10">
        <v>1600</v>
      </c>
      <c r="X705" s="10">
        <v>1600</v>
      </c>
      <c r="Y705" s="10">
        <f t="shared" ref="Y705:Y769" si="12">SUM(M705:X705)</f>
        <v>19200</v>
      </c>
    </row>
    <row r="706" spans="1:25" s="9" customFormat="1" ht="11.25" customHeight="1">
      <c r="A706" s="261">
        <v>2014</v>
      </c>
      <c r="B706" s="261" t="s">
        <v>573</v>
      </c>
      <c r="C706" s="9" t="s">
        <v>32</v>
      </c>
      <c r="D706" s="9" t="s">
        <v>32</v>
      </c>
      <c r="E706" s="9" t="s">
        <v>37</v>
      </c>
      <c r="F706" s="9" t="s">
        <v>245</v>
      </c>
      <c r="G706" s="9" t="s">
        <v>245</v>
      </c>
      <c r="H706" s="9" t="s">
        <v>37</v>
      </c>
      <c r="I706" s="9" t="s">
        <v>37</v>
      </c>
      <c r="J706" s="9" t="s">
        <v>37</v>
      </c>
      <c r="K706" s="9" t="s">
        <v>301</v>
      </c>
      <c r="M706" s="346">
        <v>2500</v>
      </c>
      <c r="N706" s="10">
        <v>2500</v>
      </c>
      <c r="O706" s="10">
        <v>2500</v>
      </c>
      <c r="P706" s="10">
        <v>2500</v>
      </c>
      <c r="Q706" s="10">
        <v>2500</v>
      </c>
      <c r="R706" s="10">
        <v>2500</v>
      </c>
      <c r="S706" s="10">
        <v>2500</v>
      </c>
      <c r="T706" s="10">
        <v>2500</v>
      </c>
      <c r="U706" s="10">
        <v>2500</v>
      </c>
      <c r="V706" s="10">
        <v>2500</v>
      </c>
      <c r="W706" s="10">
        <v>2500</v>
      </c>
      <c r="X706" s="10">
        <v>2500</v>
      </c>
      <c r="Y706" s="10">
        <f t="shared" si="12"/>
        <v>30000</v>
      </c>
    </row>
    <row r="707" spans="1:25" s="9" customFormat="1" ht="11.25" customHeight="1">
      <c r="A707" s="261">
        <v>2014</v>
      </c>
      <c r="B707" s="261" t="s">
        <v>573</v>
      </c>
      <c r="C707" s="9" t="s">
        <v>32</v>
      </c>
      <c r="D707" s="9" t="s">
        <v>32</v>
      </c>
      <c r="E707" s="9" t="s">
        <v>37</v>
      </c>
      <c r="F707" s="9" t="s">
        <v>245</v>
      </c>
      <c r="G707" s="9" t="s">
        <v>245</v>
      </c>
      <c r="H707" s="9" t="s">
        <v>37</v>
      </c>
      <c r="I707" s="9" t="s">
        <v>37</v>
      </c>
      <c r="J707" s="9" t="s">
        <v>37</v>
      </c>
      <c r="K707" s="9" t="s">
        <v>305</v>
      </c>
      <c r="M707" s="10">
        <v>800</v>
      </c>
      <c r="N707" s="10">
        <v>800</v>
      </c>
      <c r="O707" s="10">
        <v>1600</v>
      </c>
      <c r="P707" s="10">
        <v>1600</v>
      </c>
      <c r="Q707" s="10">
        <v>1600</v>
      </c>
      <c r="R707" s="10">
        <v>1600</v>
      </c>
      <c r="S707" s="10">
        <v>1600</v>
      </c>
      <c r="T707" s="10">
        <v>1600</v>
      </c>
      <c r="U707" s="10">
        <v>1600</v>
      </c>
      <c r="V707" s="10">
        <v>1600</v>
      </c>
      <c r="W707" s="10">
        <v>1600</v>
      </c>
      <c r="X707" s="10">
        <v>1600</v>
      </c>
      <c r="Y707" s="10">
        <f t="shared" si="12"/>
        <v>17600</v>
      </c>
    </row>
    <row r="708" spans="1:25" s="9" customFormat="1" ht="11.25" customHeight="1">
      <c r="A708" s="261">
        <v>2014</v>
      </c>
      <c r="B708" s="261" t="s">
        <v>573</v>
      </c>
      <c r="C708" s="9" t="s">
        <v>32</v>
      </c>
      <c r="D708" s="9" t="s">
        <v>32</v>
      </c>
      <c r="E708" s="9" t="s">
        <v>37</v>
      </c>
      <c r="F708" s="9" t="s">
        <v>245</v>
      </c>
      <c r="G708" s="9" t="s">
        <v>245</v>
      </c>
      <c r="H708" s="9" t="s">
        <v>37</v>
      </c>
      <c r="I708" s="9" t="s">
        <v>37</v>
      </c>
      <c r="J708" s="9" t="s">
        <v>37</v>
      </c>
      <c r="K708" s="9" t="s">
        <v>298</v>
      </c>
      <c r="M708" s="10">
        <v>2500</v>
      </c>
      <c r="N708" s="10">
        <v>2500</v>
      </c>
      <c r="O708" s="10">
        <v>2500</v>
      </c>
      <c r="P708" s="10">
        <v>2500</v>
      </c>
      <c r="Q708" s="10">
        <v>2500</v>
      </c>
      <c r="R708" s="10">
        <v>2500</v>
      </c>
      <c r="S708" s="10">
        <v>2500</v>
      </c>
      <c r="T708" s="10">
        <v>2500</v>
      </c>
      <c r="U708" s="10">
        <v>2500</v>
      </c>
      <c r="V708" s="10">
        <v>2500</v>
      </c>
      <c r="W708" s="10">
        <v>2500</v>
      </c>
      <c r="X708" s="10">
        <v>2500</v>
      </c>
      <c r="Y708" s="10">
        <f t="shared" si="12"/>
        <v>30000</v>
      </c>
    </row>
    <row r="709" spans="1:25" s="9" customFormat="1" ht="11.25" customHeight="1">
      <c r="A709" s="261">
        <v>2014</v>
      </c>
      <c r="B709" s="261" t="s">
        <v>573</v>
      </c>
      <c r="C709" s="9" t="s">
        <v>32</v>
      </c>
      <c r="D709" s="9" t="s">
        <v>32</v>
      </c>
      <c r="E709" s="9" t="s">
        <v>37</v>
      </c>
      <c r="F709" s="9" t="s">
        <v>245</v>
      </c>
      <c r="G709" s="9" t="s">
        <v>245</v>
      </c>
      <c r="H709" s="9" t="s">
        <v>37</v>
      </c>
      <c r="I709" s="9" t="s">
        <v>37</v>
      </c>
      <c r="J709" s="9" t="s">
        <v>37</v>
      </c>
      <c r="K709" s="9" t="s">
        <v>300</v>
      </c>
      <c r="M709" s="10">
        <v>1600</v>
      </c>
      <c r="N709" s="10">
        <v>1300</v>
      </c>
      <c r="O709" s="10">
        <v>1300</v>
      </c>
      <c r="P709" s="10">
        <v>1300</v>
      </c>
      <c r="Q709" s="10">
        <v>1300</v>
      </c>
      <c r="R709" s="10">
        <v>1300</v>
      </c>
      <c r="S709" s="10">
        <v>1300</v>
      </c>
      <c r="T709" s="10">
        <v>1300</v>
      </c>
      <c r="U709" s="10">
        <v>1300</v>
      </c>
      <c r="V709" s="10">
        <v>1300</v>
      </c>
      <c r="W709" s="10">
        <v>1300</v>
      </c>
      <c r="X709" s="10">
        <v>1300</v>
      </c>
      <c r="Y709" s="10">
        <f t="shared" si="12"/>
        <v>15900</v>
      </c>
    </row>
    <row r="710" spans="1:25" s="9" customFormat="1" ht="11.25" customHeight="1">
      <c r="A710" s="261">
        <v>2014</v>
      </c>
      <c r="B710" s="261" t="s">
        <v>573</v>
      </c>
      <c r="C710" s="9" t="s">
        <v>32</v>
      </c>
      <c r="D710" s="9" t="s">
        <v>32</v>
      </c>
      <c r="E710" s="9" t="s">
        <v>37</v>
      </c>
      <c r="F710" s="9" t="s">
        <v>245</v>
      </c>
      <c r="G710" s="9" t="s">
        <v>245</v>
      </c>
      <c r="H710" s="9" t="s">
        <v>37</v>
      </c>
      <c r="I710" s="9" t="s">
        <v>37</v>
      </c>
      <c r="J710" s="9" t="s">
        <v>37</v>
      </c>
      <c r="K710" s="9" t="s">
        <v>309</v>
      </c>
      <c r="M710" s="10">
        <v>1600</v>
      </c>
      <c r="N710" s="10">
        <v>1300</v>
      </c>
      <c r="O710" s="10">
        <v>1300</v>
      </c>
      <c r="P710" s="10">
        <v>1300</v>
      </c>
      <c r="Q710" s="10">
        <v>1300</v>
      </c>
      <c r="R710" s="10">
        <v>1300</v>
      </c>
      <c r="S710" s="10">
        <v>1300</v>
      </c>
      <c r="T710" s="10">
        <v>1300</v>
      </c>
      <c r="U710" s="10">
        <v>1300</v>
      </c>
      <c r="V710" s="10">
        <v>1300</v>
      </c>
      <c r="W710" s="10">
        <v>1300</v>
      </c>
      <c r="X710" s="10">
        <v>1300</v>
      </c>
      <c r="Y710" s="10">
        <f t="shared" si="12"/>
        <v>15900</v>
      </c>
    </row>
    <row r="711" spans="1:25" s="9" customFormat="1" ht="11.25" customHeight="1">
      <c r="A711" s="261">
        <v>2014</v>
      </c>
      <c r="B711" s="261" t="s">
        <v>573</v>
      </c>
      <c r="C711" s="9" t="s">
        <v>32</v>
      </c>
      <c r="D711" s="9" t="s">
        <v>32</v>
      </c>
      <c r="E711" s="9" t="s">
        <v>37</v>
      </c>
      <c r="F711" s="9" t="s">
        <v>245</v>
      </c>
      <c r="G711" s="9" t="s">
        <v>245</v>
      </c>
      <c r="H711" s="9" t="s">
        <v>37</v>
      </c>
      <c r="I711" s="9" t="s">
        <v>37</v>
      </c>
      <c r="J711" s="9" t="s">
        <v>37</v>
      </c>
      <c r="K711" s="9" t="s">
        <v>307</v>
      </c>
      <c r="M711" s="10">
        <v>1200</v>
      </c>
      <c r="N711" s="10">
        <v>1600</v>
      </c>
      <c r="O711" s="10">
        <v>1600</v>
      </c>
      <c r="P711" s="10">
        <v>1600</v>
      </c>
      <c r="Q711" s="10">
        <v>1600</v>
      </c>
      <c r="R711" s="10">
        <v>1600</v>
      </c>
      <c r="S711" s="10">
        <v>1600</v>
      </c>
      <c r="T711" s="10">
        <v>1600</v>
      </c>
      <c r="U711" s="10">
        <v>1600</v>
      </c>
      <c r="V711" s="10">
        <v>1600</v>
      </c>
      <c r="W711" s="10">
        <v>1600</v>
      </c>
      <c r="X711" s="10">
        <v>1600</v>
      </c>
      <c r="Y711" s="10">
        <f t="shared" si="12"/>
        <v>18800</v>
      </c>
    </row>
    <row r="712" spans="1:25" s="9" customFormat="1" ht="11.25" customHeight="1">
      <c r="A712" s="261">
        <v>2014</v>
      </c>
      <c r="B712" s="261" t="s">
        <v>573</v>
      </c>
      <c r="C712" s="9" t="s">
        <v>32</v>
      </c>
      <c r="D712" s="9" t="s">
        <v>32</v>
      </c>
      <c r="E712" s="9" t="s">
        <v>37</v>
      </c>
      <c r="F712" s="9" t="s">
        <v>245</v>
      </c>
      <c r="G712" s="9" t="s">
        <v>245</v>
      </c>
      <c r="H712" s="9" t="s">
        <v>37</v>
      </c>
      <c r="I712" s="9" t="s">
        <v>37</v>
      </c>
      <c r="J712" s="9" t="s">
        <v>37</v>
      </c>
      <c r="K712" s="9" t="s">
        <v>311</v>
      </c>
      <c r="M712" s="10">
        <v>800</v>
      </c>
      <c r="N712" s="10">
        <v>800</v>
      </c>
      <c r="O712" s="10">
        <v>800</v>
      </c>
      <c r="P712" s="10">
        <v>800</v>
      </c>
      <c r="Q712" s="10">
        <v>800</v>
      </c>
      <c r="R712" s="10">
        <v>800</v>
      </c>
      <c r="S712" s="10">
        <v>800</v>
      </c>
      <c r="T712" s="10">
        <v>800</v>
      </c>
      <c r="U712" s="10">
        <v>800</v>
      </c>
      <c r="V712" s="10">
        <v>800</v>
      </c>
      <c r="W712" s="10">
        <v>800</v>
      </c>
      <c r="X712" s="10">
        <v>800</v>
      </c>
      <c r="Y712" s="10">
        <f t="shared" si="12"/>
        <v>9600</v>
      </c>
    </row>
    <row r="713" spans="1:25" s="9" customFormat="1" ht="11.25" customHeight="1">
      <c r="A713" s="261">
        <v>2014</v>
      </c>
      <c r="B713" s="261" t="s">
        <v>573</v>
      </c>
      <c r="C713" s="9" t="s">
        <v>32</v>
      </c>
      <c r="D713" s="9" t="s">
        <v>32</v>
      </c>
      <c r="E713" s="9" t="s">
        <v>37</v>
      </c>
      <c r="F713" s="9" t="s">
        <v>245</v>
      </c>
      <c r="G713" s="9" t="s">
        <v>245</v>
      </c>
      <c r="H713" s="9" t="s">
        <v>37</v>
      </c>
      <c r="I713" s="9" t="s">
        <v>37</v>
      </c>
      <c r="J713" s="9" t="s">
        <v>37</v>
      </c>
      <c r="K713" s="9" t="s">
        <v>306</v>
      </c>
      <c r="M713" s="10">
        <v>2500</v>
      </c>
      <c r="N713" s="10">
        <v>1900</v>
      </c>
      <c r="O713" s="10">
        <v>1900</v>
      </c>
      <c r="P713" s="10">
        <v>1900</v>
      </c>
      <c r="Q713" s="10">
        <v>1900</v>
      </c>
      <c r="R713" s="10">
        <v>1900</v>
      </c>
      <c r="S713" s="10">
        <v>1900</v>
      </c>
      <c r="T713" s="10">
        <v>1900</v>
      </c>
      <c r="U713" s="10">
        <v>1900</v>
      </c>
      <c r="V713" s="10">
        <v>1900</v>
      </c>
      <c r="W713" s="10">
        <v>1900</v>
      </c>
      <c r="X713" s="10">
        <v>1900</v>
      </c>
      <c r="Y713" s="10">
        <f>SUM(M713:X713)</f>
        <v>23400</v>
      </c>
    </row>
    <row r="714" spans="1:25" s="9" customFormat="1" ht="11.25" customHeight="1">
      <c r="A714" s="261">
        <v>2014</v>
      </c>
      <c r="B714" s="261" t="s">
        <v>573</v>
      </c>
      <c r="C714" s="9" t="s">
        <v>32</v>
      </c>
      <c r="D714" s="9" t="s">
        <v>32</v>
      </c>
      <c r="E714" s="9" t="s">
        <v>37</v>
      </c>
      <c r="F714" s="9" t="s">
        <v>245</v>
      </c>
      <c r="G714" s="9" t="s">
        <v>245</v>
      </c>
      <c r="H714" s="9" t="s">
        <v>37</v>
      </c>
      <c r="I714" s="9" t="s">
        <v>37</v>
      </c>
      <c r="J714" s="9" t="s">
        <v>37</v>
      </c>
      <c r="K714" s="9" t="s">
        <v>299</v>
      </c>
      <c r="M714" s="346">
        <v>2500</v>
      </c>
      <c r="N714" s="10">
        <v>3500</v>
      </c>
      <c r="O714" s="10">
        <v>3500</v>
      </c>
      <c r="P714" s="10">
        <v>3500</v>
      </c>
      <c r="Q714" s="10">
        <v>3500</v>
      </c>
      <c r="R714" s="10">
        <v>3500</v>
      </c>
      <c r="S714" s="10">
        <v>3500</v>
      </c>
      <c r="T714" s="10">
        <v>3500</v>
      </c>
      <c r="U714" s="10">
        <v>3500</v>
      </c>
      <c r="V714" s="10">
        <v>3500</v>
      </c>
      <c r="W714" s="10">
        <v>3500</v>
      </c>
      <c r="X714" s="10">
        <v>3500</v>
      </c>
      <c r="Y714" s="10">
        <f t="shared" si="12"/>
        <v>41000</v>
      </c>
    </row>
    <row r="715" spans="1:25" s="9" customFormat="1" ht="11.25" customHeight="1">
      <c r="A715" s="261">
        <v>2014</v>
      </c>
      <c r="B715" s="261" t="s">
        <v>573</v>
      </c>
      <c r="C715" s="9" t="s">
        <v>32</v>
      </c>
      <c r="D715" s="9" t="s">
        <v>32</v>
      </c>
      <c r="E715" s="9" t="s">
        <v>37</v>
      </c>
      <c r="F715" s="9" t="s">
        <v>245</v>
      </c>
      <c r="G715" s="9" t="s">
        <v>245</v>
      </c>
      <c r="H715" s="9" t="s">
        <v>37</v>
      </c>
      <c r="I715" s="9" t="s">
        <v>37</v>
      </c>
      <c r="J715" s="9" t="s">
        <v>37</v>
      </c>
      <c r="K715" s="9" t="s">
        <v>308</v>
      </c>
      <c r="M715" s="10">
        <v>1200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</v>
      </c>
      <c r="X715" s="10">
        <v>0</v>
      </c>
      <c r="Y715" s="10">
        <f t="shared" si="12"/>
        <v>1200</v>
      </c>
    </row>
    <row r="716" spans="1:25" s="9" customFormat="1" ht="11.25" customHeight="1">
      <c r="A716" s="261">
        <v>2014</v>
      </c>
      <c r="B716" s="261" t="s">
        <v>573</v>
      </c>
      <c r="C716" s="9" t="s">
        <v>32</v>
      </c>
      <c r="D716" s="9" t="s">
        <v>32</v>
      </c>
      <c r="E716" s="9" t="s">
        <v>37</v>
      </c>
      <c r="F716" s="9" t="s">
        <v>245</v>
      </c>
      <c r="G716" s="9" t="s">
        <v>245</v>
      </c>
      <c r="H716" s="9" t="s">
        <v>37</v>
      </c>
      <c r="I716" s="9" t="s">
        <v>37</v>
      </c>
      <c r="J716" s="9" t="s">
        <v>37</v>
      </c>
      <c r="K716" s="9" t="s">
        <v>302</v>
      </c>
      <c r="M716" s="10"/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0</v>
      </c>
      <c r="X716" s="10">
        <v>0</v>
      </c>
      <c r="Y716" s="10">
        <f t="shared" si="12"/>
        <v>0</v>
      </c>
    </row>
    <row r="717" spans="1:25" s="9" customFormat="1" ht="11.25" customHeight="1">
      <c r="A717" s="261">
        <v>2014</v>
      </c>
      <c r="B717" s="261" t="s">
        <v>573</v>
      </c>
      <c r="C717" s="9" t="s">
        <v>32</v>
      </c>
      <c r="D717" s="9" t="s">
        <v>32</v>
      </c>
      <c r="E717" s="9" t="s">
        <v>37</v>
      </c>
      <c r="F717" s="9" t="s">
        <v>245</v>
      </c>
      <c r="G717" s="9" t="s">
        <v>245</v>
      </c>
      <c r="H717" s="9" t="s">
        <v>37</v>
      </c>
      <c r="I717" s="9" t="s">
        <v>37</v>
      </c>
      <c r="J717" s="9" t="s">
        <v>37</v>
      </c>
      <c r="K717" s="9" t="s">
        <v>310</v>
      </c>
      <c r="M717" s="10">
        <v>1600</v>
      </c>
      <c r="N717" s="10">
        <v>1600</v>
      </c>
      <c r="O717" s="10">
        <v>1600</v>
      </c>
      <c r="P717" s="10">
        <v>1600</v>
      </c>
      <c r="Q717" s="10">
        <v>1600</v>
      </c>
      <c r="R717" s="10">
        <v>1600</v>
      </c>
      <c r="S717" s="10">
        <v>1600</v>
      </c>
      <c r="T717" s="10">
        <v>1600</v>
      </c>
      <c r="U717" s="10">
        <v>1600</v>
      </c>
      <c r="V717" s="10">
        <v>1600</v>
      </c>
      <c r="W717" s="10">
        <v>1600</v>
      </c>
      <c r="X717" s="10">
        <v>1600</v>
      </c>
      <c r="Y717" s="10">
        <f t="shared" si="12"/>
        <v>19200</v>
      </c>
    </row>
    <row r="718" spans="1:25" s="9" customFormat="1" ht="11.25" customHeight="1">
      <c r="A718" s="261">
        <v>2014</v>
      </c>
      <c r="B718" s="261" t="s">
        <v>573</v>
      </c>
      <c r="C718" s="9" t="s">
        <v>32</v>
      </c>
      <c r="D718" s="9" t="s">
        <v>32</v>
      </c>
      <c r="E718" s="9" t="s">
        <v>37</v>
      </c>
      <c r="F718" s="9" t="s">
        <v>245</v>
      </c>
      <c r="G718" s="9" t="s">
        <v>245</v>
      </c>
      <c r="H718" s="9" t="s">
        <v>37</v>
      </c>
      <c r="I718" s="9" t="s">
        <v>37</v>
      </c>
      <c r="J718" s="9" t="s">
        <v>37</v>
      </c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>
        <f t="shared" si="12"/>
        <v>0</v>
      </c>
    </row>
    <row r="719" spans="1:25" s="9" customFormat="1" ht="11.25">
      <c r="A719" s="261">
        <v>2014</v>
      </c>
      <c r="B719" s="261" t="s">
        <v>574</v>
      </c>
      <c r="C719" s="9" t="s">
        <v>32</v>
      </c>
      <c r="D719" s="9" t="s">
        <v>9</v>
      </c>
      <c r="E719" s="9" t="s">
        <v>10</v>
      </c>
      <c r="F719" s="9" t="s">
        <v>245</v>
      </c>
      <c r="G719" s="9" t="s">
        <v>245</v>
      </c>
      <c r="H719" s="9" t="s">
        <v>9</v>
      </c>
      <c r="I719" s="9" t="s">
        <v>10</v>
      </c>
      <c r="J719" s="9" t="s">
        <v>324</v>
      </c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>
        <v>145</v>
      </c>
      <c r="Y719" s="10">
        <f t="shared" si="12"/>
        <v>145</v>
      </c>
    </row>
    <row r="720" spans="1:25" s="9" customFormat="1" ht="11.25" customHeight="1">
      <c r="A720" s="261">
        <v>2014</v>
      </c>
      <c r="B720" s="261" t="s">
        <v>573</v>
      </c>
      <c r="C720" s="9" t="s">
        <v>32</v>
      </c>
      <c r="D720" s="9" t="s">
        <v>32</v>
      </c>
      <c r="E720" s="9" t="s">
        <v>149</v>
      </c>
      <c r="F720" s="9" t="s">
        <v>245</v>
      </c>
      <c r="G720" s="9" t="s">
        <v>245</v>
      </c>
      <c r="H720" s="9" t="s">
        <v>149</v>
      </c>
      <c r="I720" s="9" t="s">
        <v>149</v>
      </c>
      <c r="J720" s="9" t="s">
        <v>150</v>
      </c>
      <c r="M720" s="10">
        <v>8997.56</v>
      </c>
      <c r="N720" s="10">
        <v>8997.56</v>
      </c>
      <c r="O720" s="10">
        <v>10614.89</v>
      </c>
      <c r="P720" s="10">
        <v>10614.89</v>
      </c>
      <c r="Q720" s="10">
        <v>10614.89</v>
      </c>
      <c r="R720" s="10">
        <v>10614.89</v>
      </c>
      <c r="S720" s="10">
        <v>10614.89</v>
      </c>
      <c r="T720" s="10">
        <v>10614.89</v>
      </c>
      <c r="U720" s="10">
        <v>10614.89</v>
      </c>
      <c r="V720" s="10">
        <v>10614.89</v>
      </c>
      <c r="W720" s="10">
        <v>10614.89</v>
      </c>
      <c r="X720" s="10">
        <v>10614.89</v>
      </c>
      <c r="Y720" s="10">
        <f t="shared" si="12"/>
        <v>124144.01999999999</v>
      </c>
    </row>
    <row r="721" spans="1:25" s="9" customFormat="1" ht="11.25" customHeight="1">
      <c r="A721" s="261">
        <v>2014</v>
      </c>
      <c r="B721" s="261" t="s">
        <v>573</v>
      </c>
      <c r="C721" s="9" t="s">
        <v>32</v>
      </c>
      <c r="D721" s="9" t="s">
        <v>32</v>
      </c>
      <c r="E721" s="9" t="s">
        <v>18</v>
      </c>
      <c r="F721" s="9" t="s">
        <v>245</v>
      </c>
      <c r="G721" s="9" t="s">
        <v>245</v>
      </c>
      <c r="H721" s="9" t="s">
        <v>18</v>
      </c>
      <c r="I721" s="9" t="s">
        <v>18</v>
      </c>
      <c r="J721" s="9" t="s">
        <v>34</v>
      </c>
      <c r="K721" s="9" t="s">
        <v>304</v>
      </c>
      <c r="M721" s="10">
        <v>561</v>
      </c>
      <c r="N721" s="10">
        <v>561</v>
      </c>
      <c r="O721" s="10">
        <v>561</v>
      </c>
      <c r="P721" s="10">
        <v>561</v>
      </c>
      <c r="Q721" s="10">
        <v>561</v>
      </c>
      <c r="R721" s="10">
        <v>561</v>
      </c>
      <c r="S721" s="10">
        <v>561</v>
      </c>
      <c r="T721" s="10">
        <v>561</v>
      </c>
      <c r="U721" s="10">
        <v>561</v>
      </c>
      <c r="V721" s="10">
        <v>561</v>
      </c>
      <c r="W721" s="10">
        <v>561</v>
      </c>
      <c r="X721" s="10">
        <v>561</v>
      </c>
      <c r="Y721" s="10">
        <f t="shared" si="12"/>
        <v>6732</v>
      </c>
    </row>
    <row r="722" spans="1:25" s="9" customFormat="1" ht="11.25" customHeight="1">
      <c r="A722" s="261">
        <v>2014</v>
      </c>
      <c r="B722" s="261" t="s">
        <v>573</v>
      </c>
      <c r="C722" s="9" t="s">
        <v>32</v>
      </c>
      <c r="D722" s="9" t="s">
        <v>32</v>
      </c>
      <c r="E722" s="9" t="s">
        <v>18</v>
      </c>
      <c r="F722" s="9" t="s">
        <v>245</v>
      </c>
      <c r="G722" s="9" t="s">
        <v>245</v>
      </c>
      <c r="H722" s="9" t="s">
        <v>18</v>
      </c>
      <c r="I722" s="9" t="s">
        <v>18</v>
      </c>
      <c r="J722" s="9" t="s">
        <v>34</v>
      </c>
      <c r="K722" s="9" t="s">
        <v>301</v>
      </c>
      <c r="M722" s="10">
        <v>900</v>
      </c>
      <c r="N722" s="10">
        <v>900</v>
      </c>
      <c r="O722" s="10">
        <v>900</v>
      </c>
      <c r="P722" s="10">
        <v>900</v>
      </c>
      <c r="Q722" s="10">
        <v>900</v>
      </c>
      <c r="R722" s="10">
        <v>900</v>
      </c>
      <c r="S722" s="10">
        <v>900</v>
      </c>
      <c r="T722" s="10">
        <v>900</v>
      </c>
      <c r="U722" s="10">
        <v>900</v>
      </c>
      <c r="V722" s="10">
        <v>900</v>
      </c>
      <c r="W722" s="10">
        <v>900</v>
      </c>
      <c r="X722" s="10">
        <v>900</v>
      </c>
      <c r="Y722" s="10">
        <f t="shared" si="12"/>
        <v>10800</v>
      </c>
    </row>
    <row r="723" spans="1:25" s="9" customFormat="1" ht="11.25" customHeight="1">
      <c r="A723" s="261">
        <v>2014</v>
      </c>
      <c r="B723" s="261" t="s">
        <v>573</v>
      </c>
      <c r="C723" s="9" t="s">
        <v>32</v>
      </c>
      <c r="D723" s="9" t="s">
        <v>32</v>
      </c>
      <c r="E723" s="9" t="s">
        <v>18</v>
      </c>
      <c r="F723" s="9" t="s">
        <v>245</v>
      </c>
      <c r="G723" s="9" t="s">
        <v>245</v>
      </c>
      <c r="H723" s="9" t="s">
        <v>18</v>
      </c>
      <c r="I723" s="9" t="s">
        <v>18</v>
      </c>
      <c r="J723" s="9" t="s">
        <v>34</v>
      </c>
      <c r="K723" s="9" t="s">
        <v>305</v>
      </c>
      <c r="M723" s="10">
        <v>361</v>
      </c>
      <c r="N723" s="10">
        <v>361</v>
      </c>
      <c r="O723" s="10">
        <v>361</v>
      </c>
      <c r="P723" s="10">
        <v>361</v>
      </c>
      <c r="Q723" s="10">
        <v>361</v>
      </c>
      <c r="R723" s="10">
        <v>361</v>
      </c>
      <c r="S723" s="10">
        <v>361</v>
      </c>
      <c r="T723" s="10">
        <v>361</v>
      </c>
      <c r="U723" s="10">
        <v>361</v>
      </c>
      <c r="V723" s="10">
        <v>361</v>
      </c>
      <c r="W723" s="10">
        <v>361</v>
      </c>
      <c r="X723" s="10">
        <v>361</v>
      </c>
      <c r="Y723" s="10">
        <f t="shared" si="12"/>
        <v>4332</v>
      </c>
    </row>
    <row r="724" spans="1:25" s="9" customFormat="1" ht="11.25" customHeight="1">
      <c r="A724" s="261">
        <v>2014</v>
      </c>
      <c r="B724" s="261" t="s">
        <v>573</v>
      </c>
      <c r="C724" s="9" t="s">
        <v>32</v>
      </c>
      <c r="D724" s="9" t="s">
        <v>32</v>
      </c>
      <c r="E724" s="9" t="s">
        <v>18</v>
      </c>
      <c r="F724" s="9" t="s">
        <v>245</v>
      </c>
      <c r="G724" s="9" t="s">
        <v>245</v>
      </c>
      <c r="H724" s="9" t="s">
        <v>18</v>
      </c>
      <c r="I724" s="9" t="s">
        <v>18</v>
      </c>
      <c r="J724" s="9" t="s">
        <v>34</v>
      </c>
      <c r="K724" s="9" t="s">
        <v>300</v>
      </c>
      <c r="M724" s="10">
        <v>900</v>
      </c>
      <c r="N724" s="10">
        <v>900</v>
      </c>
      <c r="O724" s="10">
        <v>900</v>
      </c>
      <c r="P724" s="10">
        <v>900</v>
      </c>
      <c r="Q724" s="10">
        <v>900</v>
      </c>
      <c r="R724" s="10">
        <v>900</v>
      </c>
      <c r="S724" s="10">
        <v>900</v>
      </c>
      <c r="T724" s="10">
        <v>900</v>
      </c>
      <c r="U724" s="10">
        <v>900</v>
      </c>
      <c r="V724" s="10">
        <v>900</v>
      </c>
      <c r="W724" s="10">
        <v>900</v>
      </c>
      <c r="X724" s="10">
        <v>900</v>
      </c>
      <c r="Y724" s="10">
        <f t="shared" si="12"/>
        <v>10800</v>
      </c>
    </row>
    <row r="725" spans="1:25" s="9" customFormat="1" ht="11.25" customHeight="1">
      <c r="A725" s="261">
        <v>2014</v>
      </c>
      <c r="B725" s="261" t="s">
        <v>573</v>
      </c>
      <c r="C725" s="9" t="s">
        <v>32</v>
      </c>
      <c r="D725" s="9" t="s">
        <v>32</v>
      </c>
      <c r="E725" s="9" t="s">
        <v>18</v>
      </c>
      <c r="F725" s="9" t="s">
        <v>245</v>
      </c>
      <c r="G725" s="9" t="s">
        <v>245</v>
      </c>
      <c r="H725" s="9" t="s">
        <v>18</v>
      </c>
      <c r="I725" s="9" t="s">
        <v>18</v>
      </c>
      <c r="J725" s="9" t="s">
        <v>34</v>
      </c>
      <c r="K725" s="9" t="s">
        <v>309</v>
      </c>
      <c r="M725" s="10">
        <v>900</v>
      </c>
      <c r="N725" s="10">
        <v>900</v>
      </c>
      <c r="O725" s="10">
        <v>900</v>
      </c>
      <c r="P725" s="10">
        <v>900</v>
      </c>
      <c r="Q725" s="10">
        <v>900</v>
      </c>
      <c r="R725" s="10">
        <v>900</v>
      </c>
      <c r="S725" s="10">
        <v>900</v>
      </c>
      <c r="T725" s="10">
        <v>900</v>
      </c>
      <c r="U725" s="10">
        <v>900</v>
      </c>
      <c r="V725" s="10">
        <v>900</v>
      </c>
      <c r="W725" s="10">
        <v>900</v>
      </c>
      <c r="X725" s="10">
        <v>900</v>
      </c>
      <c r="Y725" s="10">
        <f t="shared" si="12"/>
        <v>10800</v>
      </c>
    </row>
    <row r="726" spans="1:25" s="9" customFormat="1" ht="11.25" customHeight="1">
      <c r="A726" s="261">
        <v>2014</v>
      </c>
      <c r="B726" s="261" t="s">
        <v>573</v>
      </c>
      <c r="C726" s="9" t="s">
        <v>32</v>
      </c>
      <c r="D726" s="9" t="s">
        <v>32</v>
      </c>
      <c r="E726" s="9" t="s">
        <v>18</v>
      </c>
      <c r="F726" s="9" t="s">
        <v>245</v>
      </c>
      <c r="G726" s="9" t="s">
        <v>245</v>
      </c>
      <c r="H726" s="9" t="s">
        <v>18</v>
      </c>
      <c r="I726" s="9" t="s">
        <v>18</v>
      </c>
      <c r="J726" s="9" t="s">
        <v>34</v>
      </c>
      <c r="K726" s="9" t="s">
        <v>307</v>
      </c>
      <c r="M726" s="10">
        <v>450</v>
      </c>
      <c r="N726" s="10">
        <v>450</v>
      </c>
      <c r="O726" s="10">
        <v>450</v>
      </c>
      <c r="P726" s="10">
        <v>450</v>
      </c>
      <c r="Q726" s="10">
        <v>450</v>
      </c>
      <c r="R726" s="10">
        <v>450</v>
      </c>
      <c r="S726" s="10">
        <v>450</v>
      </c>
      <c r="T726" s="10">
        <v>450</v>
      </c>
      <c r="U726" s="10">
        <v>450</v>
      </c>
      <c r="V726" s="10">
        <v>450</v>
      </c>
      <c r="W726" s="10">
        <v>450</v>
      </c>
      <c r="X726" s="10">
        <v>450</v>
      </c>
      <c r="Y726" s="10">
        <f t="shared" si="12"/>
        <v>5400</v>
      </c>
    </row>
    <row r="727" spans="1:25" s="9" customFormat="1" ht="11.25" customHeight="1">
      <c r="A727" s="261">
        <v>2014</v>
      </c>
      <c r="B727" s="261" t="s">
        <v>573</v>
      </c>
      <c r="C727" s="9" t="s">
        <v>32</v>
      </c>
      <c r="D727" s="9" t="s">
        <v>32</v>
      </c>
      <c r="E727" s="9" t="s">
        <v>18</v>
      </c>
      <c r="F727" s="9" t="s">
        <v>245</v>
      </c>
      <c r="G727" s="9" t="s">
        <v>245</v>
      </c>
      <c r="H727" s="9" t="s">
        <v>18</v>
      </c>
      <c r="I727" s="9" t="s">
        <v>18</v>
      </c>
      <c r="J727" s="9" t="s">
        <v>34</v>
      </c>
      <c r="K727" s="9" t="s">
        <v>311</v>
      </c>
      <c r="M727" s="10">
        <v>700</v>
      </c>
      <c r="N727" s="10">
        <v>700</v>
      </c>
      <c r="O727" s="10">
        <v>700</v>
      </c>
      <c r="P727" s="10">
        <v>700</v>
      </c>
      <c r="Q727" s="10">
        <v>700</v>
      </c>
      <c r="R727" s="10">
        <v>700</v>
      </c>
      <c r="S727" s="10">
        <v>700</v>
      </c>
      <c r="T727" s="10">
        <v>700</v>
      </c>
      <c r="U727" s="10">
        <v>700</v>
      </c>
      <c r="V727" s="10">
        <v>700</v>
      </c>
      <c r="W727" s="10">
        <v>700</v>
      </c>
      <c r="X727" s="10">
        <v>700</v>
      </c>
      <c r="Y727" s="10">
        <f t="shared" si="12"/>
        <v>8400</v>
      </c>
    </row>
    <row r="728" spans="1:25" s="9" customFormat="1" ht="11.25" customHeight="1">
      <c r="A728" s="261">
        <v>2014</v>
      </c>
      <c r="B728" s="261" t="s">
        <v>573</v>
      </c>
      <c r="C728" s="9" t="s">
        <v>32</v>
      </c>
      <c r="D728" s="9" t="s">
        <v>32</v>
      </c>
      <c r="E728" s="9" t="s">
        <v>18</v>
      </c>
      <c r="F728" s="9" t="s">
        <v>245</v>
      </c>
      <c r="G728" s="9" t="s">
        <v>245</v>
      </c>
      <c r="H728" s="9" t="s">
        <v>18</v>
      </c>
      <c r="I728" s="9" t="s">
        <v>18</v>
      </c>
      <c r="J728" s="9" t="s">
        <v>34</v>
      </c>
      <c r="K728" s="9" t="s">
        <v>303</v>
      </c>
      <c r="M728" s="10">
        <v>361</v>
      </c>
      <c r="N728" s="10">
        <v>361</v>
      </c>
      <c r="O728" s="10">
        <v>361</v>
      </c>
      <c r="P728" s="10">
        <v>361</v>
      </c>
      <c r="Q728" s="10">
        <v>361</v>
      </c>
      <c r="R728" s="10">
        <v>361</v>
      </c>
      <c r="S728" s="10">
        <v>361</v>
      </c>
      <c r="T728" s="10">
        <v>361</v>
      </c>
      <c r="U728" s="10">
        <v>361</v>
      </c>
      <c r="V728" s="10">
        <v>361</v>
      </c>
      <c r="W728" s="10">
        <v>361</v>
      </c>
      <c r="X728" s="10">
        <v>361</v>
      </c>
      <c r="Y728" s="10">
        <f t="shared" si="12"/>
        <v>4332</v>
      </c>
    </row>
    <row r="729" spans="1:25" s="9" customFormat="1" ht="11.25" customHeight="1">
      <c r="A729" s="261">
        <v>2014</v>
      </c>
      <c r="B729" s="261" t="s">
        <v>573</v>
      </c>
      <c r="C729" s="9" t="s">
        <v>32</v>
      </c>
      <c r="D729" s="9" t="s">
        <v>32</v>
      </c>
      <c r="E729" s="9" t="s">
        <v>18</v>
      </c>
      <c r="F729" s="9" t="s">
        <v>245</v>
      </c>
      <c r="G729" s="9" t="s">
        <v>245</v>
      </c>
      <c r="H729" s="9" t="s">
        <v>18</v>
      </c>
      <c r="I729" s="9" t="s">
        <v>18</v>
      </c>
      <c r="J729" s="9" t="s">
        <v>34</v>
      </c>
      <c r="K729" s="9" t="s">
        <v>306</v>
      </c>
      <c r="M729" s="10">
        <v>700</v>
      </c>
      <c r="N729" s="10">
        <v>700</v>
      </c>
      <c r="O729" s="10">
        <v>700</v>
      </c>
      <c r="P729" s="10">
        <v>700</v>
      </c>
      <c r="Q729" s="10">
        <v>700</v>
      </c>
      <c r="R729" s="10">
        <v>700</v>
      </c>
      <c r="S729" s="10">
        <v>700</v>
      </c>
      <c r="T729" s="10">
        <v>700</v>
      </c>
      <c r="U729" s="10">
        <v>700</v>
      </c>
      <c r="V729" s="10">
        <v>700</v>
      </c>
      <c r="W729" s="10">
        <v>700</v>
      </c>
      <c r="X729" s="10">
        <v>700</v>
      </c>
      <c r="Y729" s="10">
        <f t="shared" si="12"/>
        <v>8400</v>
      </c>
    </row>
    <row r="730" spans="1:25" s="9" customFormat="1" ht="11.25" customHeight="1">
      <c r="A730" s="261">
        <v>2014</v>
      </c>
      <c r="B730" s="261" t="s">
        <v>573</v>
      </c>
      <c r="C730" s="9" t="s">
        <v>32</v>
      </c>
      <c r="D730" s="9" t="s">
        <v>32</v>
      </c>
      <c r="E730" s="9" t="s">
        <v>18</v>
      </c>
      <c r="F730" s="9" t="s">
        <v>245</v>
      </c>
      <c r="G730" s="9" t="s">
        <v>245</v>
      </c>
      <c r="H730" s="9" t="s">
        <v>18</v>
      </c>
      <c r="I730" s="9" t="s">
        <v>18</v>
      </c>
      <c r="J730" s="9" t="s">
        <v>34</v>
      </c>
      <c r="K730" s="9" t="s">
        <v>299</v>
      </c>
      <c r="M730" s="10">
        <v>900</v>
      </c>
      <c r="N730" s="10">
        <v>900</v>
      </c>
      <c r="O730" s="10">
        <v>900</v>
      </c>
      <c r="P730" s="10">
        <v>900</v>
      </c>
      <c r="Q730" s="10">
        <v>900</v>
      </c>
      <c r="R730" s="10">
        <v>900</v>
      </c>
      <c r="S730" s="10">
        <v>900</v>
      </c>
      <c r="T730" s="10">
        <v>900</v>
      </c>
      <c r="U730" s="10">
        <v>900</v>
      </c>
      <c r="V730" s="10">
        <v>900</v>
      </c>
      <c r="W730" s="10">
        <v>900</v>
      </c>
      <c r="X730" s="10">
        <v>900</v>
      </c>
      <c r="Y730" s="10">
        <f t="shared" si="12"/>
        <v>10800</v>
      </c>
    </row>
    <row r="731" spans="1:25" s="9" customFormat="1" ht="11.25" customHeight="1">
      <c r="A731" s="261">
        <v>2014</v>
      </c>
      <c r="B731" s="261" t="s">
        <v>573</v>
      </c>
      <c r="C731" s="9" t="s">
        <v>32</v>
      </c>
      <c r="D731" s="9" t="s">
        <v>32</v>
      </c>
      <c r="E731" s="9" t="s">
        <v>18</v>
      </c>
      <c r="F731" s="9" t="s">
        <v>245</v>
      </c>
      <c r="G731" s="9" t="s">
        <v>245</v>
      </c>
      <c r="H731" s="9" t="s">
        <v>18</v>
      </c>
      <c r="I731" s="9" t="s">
        <v>18</v>
      </c>
      <c r="J731" s="9" t="s">
        <v>34</v>
      </c>
      <c r="K731" s="9" t="s">
        <v>308</v>
      </c>
      <c r="M731" s="10">
        <v>450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0</v>
      </c>
      <c r="X731" s="10">
        <v>0</v>
      </c>
      <c r="Y731" s="10">
        <f t="shared" si="12"/>
        <v>450</v>
      </c>
    </row>
    <row r="732" spans="1:25" s="9" customFormat="1" ht="11.25" customHeight="1">
      <c r="A732" s="261">
        <v>2014</v>
      </c>
      <c r="B732" s="261" t="s">
        <v>573</v>
      </c>
      <c r="C732" s="9" t="s">
        <v>32</v>
      </c>
      <c r="D732" s="9" t="s">
        <v>32</v>
      </c>
      <c r="E732" s="9" t="s">
        <v>18</v>
      </c>
      <c r="F732" s="9" t="s">
        <v>245</v>
      </c>
      <c r="G732" s="9" t="s">
        <v>245</v>
      </c>
      <c r="H732" s="9" t="s">
        <v>18</v>
      </c>
      <c r="I732" s="9" t="s">
        <v>18</v>
      </c>
      <c r="J732" s="9" t="s">
        <v>34</v>
      </c>
      <c r="K732" s="9" t="s">
        <v>302</v>
      </c>
      <c r="M732" s="10">
        <v>561</v>
      </c>
      <c r="N732" s="10">
        <v>561</v>
      </c>
      <c r="O732" s="10">
        <v>561</v>
      </c>
      <c r="P732" s="10">
        <v>561</v>
      </c>
      <c r="Q732" s="10">
        <v>561</v>
      </c>
      <c r="R732" s="10">
        <v>561</v>
      </c>
      <c r="S732" s="10">
        <v>561</v>
      </c>
      <c r="T732" s="10">
        <v>561</v>
      </c>
      <c r="U732" s="10">
        <v>561</v>
      </c>
      <c r="V732" s="10">
        <v>561</v>
      </c>
      <c r="W732" s="10">
        <v>561</v>
      </c>
      <c r="X732" s="10">
        <v>561</v>
      </c>
      <c r="Y732" s="10">
        <f t="shared" si="12"/>
        <v>6732</v>
      </c>
    </row>
    <row r="733" spans="1:25" s="9" customFormat="1" ht="11.25" customHeight="1">
      <c r="A733" s="261">
        <v>2014</v>
      </c>
      <c r="B733" s="261" t="s">
        <v>573</v>
      </c>
      <c r="C733" s="9" t="s">
        <v>32</v>
      </c>
      <c r="D733" s="9" t="s">
        <v>32</v>
      </c>
      <c r="E733" s="9" t="s">
        <v>18</v>
      </c>
      <c r="F733" s="9" t="s">
        <v>245</v>
      </c>
      <c r="G733" s="9" t="s">
        <v>245</v>
      </c>
      <c r="H733" s="9" t="s">
        <v>18</v>
      </c>
      <c r="I733" s="9" t="s">
        <v>18</v>
      </c>
      <c r="J733" s="9" t="s">
        <v>34</v>
      </c>
      <c r="M733" s="10"/>
      <c r="N733" s="10"/>
      <c r="O733" s="422">
        <v>1083.03</v>
      </c>
      <c r="P733" s="422">
        <v>1083.03</v>
      </c>
      <c r="Q733" s="422">
        <v>1083.03</v>
      </c>
      <c r="R733" s="422">
        <v>1083.03</v>
      </c>
      <c r="S733" s="422">
        <v>1083.03</v>
      </c>
      <c r="T733" s="422">
        <v>1083.03</v>
      </c>
      <c r="U733" s="422">
        <v>1083.03</v>
      </c>
      <c r="V733" s="422">
        <v>1083.03</v>
      </c>
      <c r="W733" s="422">
        <v>1083.03</v>
      </c>
      <c r="X733" s="422">
        <v>1083.03</v>
      </c>
      <c r="Y733" s="422">
        <f t="shared" si="12"/>
        <v>10830.300000000001</v>
      </c>
    </row>
    <row r="734" spans="1:25" s="9" customFormat="1" ht="11.25" customHeight="1">
      <c r="A734" s="261">
        <v>2014</v>
      </c>
      <c r="B734" s="261" t="s">
        <v>573</v>
      </c>
      <c r="C734" s="9" t="s">
        <v>32</v>
      </c>
      <c r="D734" s="9" t="s">
        <v>32</v>
      </c>
      <c r="E734" s="9" t="s">
        <v>18</v>
      </c>
      <c r="F734" s="9" t="s">
        <v>245</v>
      </c>
      <c r="G734" s="9" t="s">
        <v>245</v>
      </c>
      <c r="H734" s="9" t="s">
        <v>18</v>
      </c>
      <c r="I734" s="9" t="s">
        <v>18</v>
      </c>
      <c r="J734" s="9" t="s">
        <v>43</v>
      </c>
      <c r="K734" s="9" t="s">
        <v>304</v>
      </c>
      <c r="M734" s="10">
        <v>2500</v>
      </c>
      <c r="N734" s="10">
        <v>2500</v>
      </c>
      <c r="O734" s="10">
        <v>2500</v>
      </c>
      <c r="P734" s="10">
        <v>2500</v>
      </c>
      <c r="Q734" s="10">
        <v>2500</v>
      </c>
      <c r="R734" s="10">
        <v>2500</v>
      </c>
      <c r="S734" s="10">
        <v>2500</v>
      </c>
      <c r="T734" s="10">
        <v>2500</v>
      </c>
      <c r="U734" s="10">
        <v>2500</v>
      </c>
      <c r="V734" s="10">
        <v>2500</v>
      </c>
      <c r="W734" s="10">
        <v>2500</v>
      </c>
      <c r="X734" s="10">
        <v>2500</v>
      </c>
      <c r="Y734" s="10">
        <f t="shared" si="12"/>
        <v>30000</v>
      </c>
    </row>
    <row r="735" spans="1:25" s="9" customFormat="1" ht="11.25" customHeight="1">
      <c r="A735" s="261">
        <v>2014</v>
      </c>
      <c r="B735" s="261" t="s">
        <v>573</v>
      </c>
      <c r="C735" s="9" t="s">
        <v>32</v>
      </c>
      <c r="D735" s="9" t="s">
        <v>32</v>
      </c>
      <c r="E735" s="9" t="s">
        <v>18</v>
      </c>
      <c r="F735" s="9" t="s">
        <v>245</v>
      </c>
      <c r="G735" s="9" t="s">
        <v>245</v>
      </c>
      <c r="H735" s="9" t="s">
        <v>18</v>
      </c>
      <c r="I735" s="9" t="s">
        <v>18</v>
      </c>
      <c r="J735" s="9" t="s">
        <v>43</v>
      </c>
      <c r="K735" s="9" t="s">
        <v>301</v>
      </c>
      <c r="M735" s="10">
        <v>3400</v>
      </c>
      <c r="N735" s="10">
        <v>3400</v>
      </c>
      <c r="O735" s="10">
        <v>3400</v>
      </c>
      <c r="P735" s="10">
        <v>3400</v>
      </c>
      <c r="Q735" s="10">
        <v>3400</v>
      </c>
      <c r="R735" s="10">
        <v>3400</v>
      </c>
      <c r="S735" s="10">
        <v>3400</v>
      </c>
      <c r="T735" s="10">
        <v>3400</v>
      </c>
      <c r="U735" s="10">
        <v>3400</v>
      </c>
      <c r="V735" s="10">
        <v>3400</v>
      </c>
      <c r="W735" s="10">
        <v>3400</v>
      </c>
      <c r="X735" s="10">
        <v>3400</v>
      </c>
      <c r="Y735" s="10">
        <f t="shared" si="12"/>
        <v>40800</v>
      </c>
    </row>
    <row r="736" spans="1:25" s="9" customFormat="1" ht="11.25" customHeight="1">
      <c r="A736" s="261">
        <v>2014</v>
      </c>
      <c r="B736" s="261" t="s">
        <v>573</v>
      </c>
      <c r="C736" s="9" t="s">
        <v>32</v>
      </c>
      <c r="D736" s="9" t="s">
        <v>32</v>
      </c>
      <c r="E736" s="9" t="s">
        <v>18</v>
      </c>
      <c r="F736" s="9" t="s">
        <v>245</v>
      </c>
      <c r="G736" s="9" t="s">
        <v>245</v>
      </c>
      <c r="H736" s="9" t="s">
        <v>18</v>
      </c>
      <c r="I736" s="9" t="s">
        <v>18</v>
      </c>
      <c r="J736" s="9" t="s">
        <v>43</v>
      </c>
      <c r="K736" s="9" t="s">
        <v>305</v>
      </c>
      <c r="M736" s="10">
        <v>1100</v>
      </c>
      <c r="N736" s="10">
        <v>1100</v>
      </c>
      <c r="O736" s="10">
        <v>1100</v>
      </c>
      <c r="P736" s="10">
        <v>1100</v>
      </c>
      <c r="Q736" s="10">
        <v>1100</v>
      </c>
      <c r="R736" s="10">
        <v>1100</v>
      </c>
      <c r="S736" s="10">
        <v>1100</v>
      </c>
      <c r="T736" s="10">
        <v>1100</v>
      </c>
      <c r="U736" s="10">
        <v>1100</v>
      </c>
      <c r="V736" s="10">
        <v>1100</v>
      </c>
      <c r="W736" s="10">
        <v>1100</v>
      </c>
      <c r="X736" s="10">
        <v>1100</v>
      </c>
      <c r="Y736" s="10">
        <f t="shared" si="12"/>
        <v>13200</v>
      </c>
    </row>
    <row r="737" spans="1:25" s="9" customFormat="1" ht="11.25" customHeight="1">
      <c r="A737" s="261">
        <v>2014</v>
      </c>
      <c r="B737" s="261" t="s">
        <v>573</v>
      </c>
      <c r="C737" s="9" t="s">
        <v>32</v>
      </c>
      <c r="D737" s="9" t="s">
        <v>32</v>
      </c>
      <c r="E737" s="9" t="s">
        <v>18</v>
      </c>
      <c r="F737" s="9" t="s">
        <v>245</v>
      </c>
      <c r="G737" s="9" t="s">
        <v>245</v>
      </c>
      <c r="H737" s="9" t="s">
        <v>18</v>
      </c>
      <c r="I737" s="9" t="s">
        <v>18</v>
      </c>
      <c r="J737" s="9" t="s">
        <v>43</v>
      </c>
      <c r="K737" s="9" t="s">
        <v>298</v>
      </c>
      <c r="M737" s="10">
        <v>4500</v>
      </c>
      <c r="N737" s="10">
        <v>4500</v>
      </c>
      <c r="O737" s="10">
        <v>4500</v>
      </c>
      <c r="P737" s="10">
        <v>4500</v>
      </c>
      <c r="Q737" s="10">
        <v>4500</v>
      </c>
      <c r="R737" s="10">
        <v>4500</v>
      </c>
      <c r="S737" s="10">
        <v>4500</v>
      </c>
      <c r="T737" s="10">
        <v>4500</v>
      </c>
      <c r="U737" s="10">
        <v>4500</v>
      </c>
      <c r="V737" s="10">
        <v>4500</v>
      </c>
      <c r="W737" s="10">
        <v>4500</v>
      </c>
      <c r="X737" s="10">
        <v>4500</v>
      </c>
      <c r="Y737" s="10">
        <f t="shared" si="12"/>
        <v>54000</v>
      </c>
    </row>
    <row r="738" spans="1:25" s="9" customFormat="1" ht="11.25" customHeight="1">
      <c r="A738" s="261">
        <v>2014</v>
      </c>
      <c r="B738" s="261" t="s">
        <v>573</v>
      </c>
      <c r="C738" s="9" t="s">
        <v>32</v>
      </c>
      <c r="D738" s="9" t="s">
        <v>32</v>
      </c>
      <c r="E738" s="9" t="s">
        <v>18</v>
      </c>
      <c r="F738" s="9" t="s">
        <v>245</v>
      </c>
      <c r="G738" s="9" t="s">
        <v>245</v>
      </c>
      <c r="H738" s="9" t="s">
        <v>18</v>
      </c>
      <c r="I738" s="9" t="s">
        <v>18</v>
      </c>
      <c r="J738" s="9" t="s">
        <v>43</v>
      </c>
      <c r="K738" s="9" t="s">
        <v>300</v>
      </c>
      <c r="M738" s="10">
        <v>3000</v>
      </c>
      <c r="N738" s="10">
        <v>3000</v>
      </c>
      <c r="O738" s="10">
        <v>3000</v>
      </c>
      <c r="P738" s="10">
        <v>3000</v>
      </c>
      <c r="Q738" s="10">
        <v>3000</v>
      </c>
      <c r="R738" s="10">
        <v>3000</v>
      </c>
      <c r="S738" s="10">
        <v>3000</v>
      </c>
      <c r="T738" s="10">
        <v>3000</v>
      </c>
      <c r="U738" s="10">
        <v>3000</v>
      </c>
      <c r="V738" s="10">
        <v>3000</v>
      </c>
      <c r="W738" s="10">
        <v>3000</v>
      </c>
      <c r="X738" s="10">
        <v>3000</v>
      </c>
      <c r="Y738" s="10">
        <f t="shared" si="12"/>
        <v>36000</v>
      </c>
    </row>
    <row r="739" spans="1:25" s="9" customFormat="1" ht="11.25" customHeight="1">
      <c r="A739" s="261">
        <v>2014</v>
      </c>
      <c r="B739" s="261" t="s">
        <v>573</v>
      </c>
      <c r="C739" s="9" t="s">
        <v>32</v>
      </c>
      <c r="D739" s="9" t="s">
        <v>32</v>
      </c>
      <c r="E739" s="9" t="s">
        <v>18</v>
      </c>
      <c r="F739" s="9" t="s">
        <v>245</v>
      </c>
      <c r="G739" s="9" t="s">
        <v>245</v>
      </c>
      <c r="H739" s="9" t="s">
        <v>18</v>
      </c>
      <c r="I739" s="9" t="s">
        <v>18</v>
      </c>
      <c r="J739" s="9" t="s">
        <v>43</v>
      </c>
      <c r="K739" s="9" t="s">
        <v>309</v>
      </c>
      <c r="M739" s="10">
        <v>2800</v>
      </c>
      <c r="N739" s="10">
        <v>2800</v>
      </c>
      <c r="O739" s="10">
        <v>2800</v>
      </c>
      <c r="P739" s="10">
        <v>2800</v>
      </c>
      <c r="Q739" s="10">
        <v>2800</v>
      </c>
      <c r="R739" s="10">
        <v>2800</v>
      </c>
      <c r="S739" s="10">
        <v>2800</v>
      </c>
      <c r="T739" s="10">
        <v>2800</v>
      </c>
      <c r="U739" s="10">
        <v>2800</v>
      </c>
      <c r="V739" s="10">
        <v>2800</v>
      </c>
      <c r="W739" s="10">
        <v>2800</v>
      </c>
      <c r="X739" s="10">
        <v>2800</v>
      </c>
      <c r="Y739" s="10">
        <f t="shared" si="12"/>
        <v>33600</v>
      </c>
    </row>
    <row r="740" spans="1:25" s="9" customFormat="1" ht="11.25" customHeight="1">
      <c r="A740" s="261">
        <v>2014</v>
      </c>
      <c r="B740" s="261" t="s">
        <v>573</v>
      </c>
      <c r="C740" s="9" t="s">
        <v>32</v>
      </c>
      <c r="D740" s="9" t="s">
        <v>32</v>
      </c>
      <c r="E740" s="9" t="s">
        <v>18</v>
      </c>
      <c r="F740" s="9" t="s">
        <v>245</v>
      </c>
      <c r="G740" s="9" t="s">
        <v>245</v>
      </c>
      <c r="H740" s="9" t="s">
        <v>18</v>
      </c>
      <c r="I740" s="9" t="s">
        <v>18</v>
      </c>
      <c r="J740" s="9" t="s">
        <v>43</v>
      </c>
      <c r="K740" s="9" t="s">
        <v>307</v>
      </c>
      <c r="M740" s="10">
        <v>1900</v>
      </c>
      <c r="N740" s="10">
        <v>1900</v>
      </c>
      <c r="O740" s="10">
        <v>2800</v>
      </c>
      <c r="P740" s="10">
        <v>2800</v>
      </c>
      <c r="Q740" s="10">
        <v>2800</v>
      </c>
      <c r="R740" s="10">
        <v>2800</v>
      </c>
      <c r="S740" s="10">
        <v>2800</v>
      </c>
      <c r="T740" s="10">
        <v>2800</v>
      </c>
      <c r="U740" s="10">
        <v>2800</v>
      </c>
      <c r="V740" s="10">
        <v>2800</v>
      </c>
      <c r="W740" s="10">
        <v>2800</v>
      </c>
      <c r="X740" s="10">
        <v>2800</v>
      </c>
      <c r="Y740" s="10">
        <f t="shared" si="12"/>
        <v>31800</v>
      </c>
    </row>
    <row r="741" spans="1:25" s="9" customFormat="1" ht="11.25" customHeight="1">
      <c r="A741" s="261">
        <v>2014</v>
      </c>
      <c r="B741" s="261" t="s">
        <v>573</v>
      </c>
      <c r="C741" s="9" t="s">
        <v>32</v>
      </c>
      <c r="D741" s="9" t="s">
        <v>32</v>
      </c>
      <c r="E741" s="9" t="s">
        <v>18</v>
      </c>
      <c r="F741" s="9" t="s">
        <v>245</v>
      </c>
      <c r="G741" s="9" t="s">
        <v>245</v>
      </c>
      <c r="H741" s="9" t="s">
        <v>18</v>
      </c>
      <c r="I741" s="9" t="s">
        <v>18</v>
      </c>
      <c r="J741" s="9" t="s">
        <v>43</v>
      </c>
      <c r="K741" s="9" t="s">
        <v>311</v>
      </c>
      <c r="M741" s="10">
        <v>2500</v>
      </c>
      <c r="N741" s="10">
        <v>2000</v>
      </c>
      <c r="O741" s="10">
        <v>2000</v>
      </c>
      <c r="P741" s="10">
        <v>2000</v>
      </c>
      <c r="Q741" s="10">
        <v>2500</v>
      </c>
      <c r="R741" s="10">
        <v>2500</v>
      </c>
      <c r="S741" s="10">
        <v>2500</v>
      </c>
      <c r="T741" s="10">
        <v>2500</v>
      </c>
      <c r="U741" s="10">
        <v>2000</v>
      </c>
      <c r="V741" s="10">
        <v>2000</v>
      </c>
      <c r="W741" s="10">
        <v>2000</v>
      </c>
      <c r="X741" s="10">
        <v>2000</v>
      </c>
      <c r="Y741" s="10">
        <f t="shared" si="12"/>
        <v>26500</v>
      </c>
    </row>
    <row r="742" spans="1:25" s="9" customFormat="1" ht="11.25" customHeight="1">
      <c r="A742" s="261">
        <v>2014</v>
      </c>
      <c r="B742" s="261" t="s">
        <v>573</v>
      </c>
      <c r="C742" s="9" t="s">
        <v>32</v>
      </c>
      <c r="D742" s="9" t="s">
        <v>32</v>
      </c>
      <c r="E742" s="9" t="s">
        <v>18</v>
      </c>
      <c r="F742" s="9" t="s">
        <v>245</v>
      </c>
      <c r="G742" s="9" t="s">
        <v>245</v>
      </c>
      <c r="H742" s="9" t="s">
        <v>18</v>
      </c>
      <c r="I742" s="9" t="s">
        <v>18</v>
      </c>
      <c r="J742" s="9" t="s">
        <v>43</v>
      </c>
      <c r="K742" s="9" t="s">
        <v>303</v>
      </c>
      <c r="M742" s="10">
        <v>2500</v>
      </c>
      <c r="N742" s="10">
        <v>2500</v>
      </c>
      <c r="O742" s="10">
        <v>2500</v>
      </c>
      <c r="P742" s="10">
        <v>2500</v>
      </c>
      <c r="Q742" s="10">
        <v>2500</v>
      </c>
      <c r="R742" s="10">
        <v>2500</v>
      </c>
      <c r="S742" s="10">
        <v>2500</v>
      </c>
      <c r="T742" s="10">
        <v>2500</v>
      </c>
      <c r="U742" s="10">
        <v>2500</v>
      </c>
      <c r="V742" s="10">
        <v>2500</v>
      </c>
      <c r="W742" s="10">
        <v>2500</v>
      </c>
      <c r="X742" s="10">
        <v>2500</v>
      </c>
      <c r="Y742" s="10">
        <f t="shared" si="12"/>
        <v>30000</v>
      </c>
    </row>
    <row r="743" spans="1:25" s="9" customFormat="1" ht="11.25" customHeight="1">
      <c r="A743" s="261">
        <v>2014</v>
      </c>
      <c r="B743" s="261" t="s">
        <v>573</v>
      </c>
      <c r="C743" s="9" t="s">
        <v>32</v>
      </c>
      <c r="D743" s="9" t="s">
        <v>32</v>
      </c>
      <c r="E743" s="9" t="s">
        <v>18</v>
      </c>
      <c r="F743" s="9" t="s">
        <v>245</v>
      </c>
      <c r="G743" s="9" t="s">
        <v>245</v>
      </c>
      <c r="H743" s="9" t="s">
        <v>18</v>
      </c>
      <c r="I743" s="9" t="s">
        <v>18</v>
      </c>
      <c r="J743" s="9" t="s">
        <v>43</v>
      </c>
      <c r="K743" s="9" t="s">
        <v>306</v>
      </c>
      <c r="M743" s="10">
        <v>2800</v>
      </c>
      <c r="N743" s="10">
        <v>2800</v>
      </c>
      <c r="O743" s="10">
        <v>2800</v>
      </c>
      <c r="P743" s="10">
        <v>2800</v>
      </c>
      <c r="Q743" s="10">
        <v>2800</v>
      </c>
      <c r="R743" s="10">
        <v>2800</v>
      </c>
      <c r="S743" s="10">
        <v>2800</v>
      </c>
      <c r="T743" s="10">
        <v>2800</v>
      </c>
      <c r="U743" s="10">
        <v>2800</v>
      </c>
      <c r="V743" s="10">
        <v>2800</v>
      </c>
      <c r="W743" s="10">
        <v>2800</v>
      </c>
      <c r="X743" s="10">
        <v>2800</v>
      </c>
      <c r="Y743" s="10">
        <f t="shared" si="12"/>
        <v>33600</v>
      </c>
    </row>
    <row r="744" spans="1:25" s="9" customFormat="1" ht="11.25" customHeight="1">
      <c r="A744" s="261">
        <v>2014</v>
      </c>
      <c r="B744" s="261" t="s">
        <v>573</v>
      </c>
      <c r="C744" s="9" t="s">
        <v>32</v>
      </c>
      <c r="D744" s="9" t="s">
        <v>32</v>
      </c>
      <c r="E744" s="9" t="s">
        <v>18</v>
      </c>
      <c r="F744" s="9" t="s">
        <v>245</v>
      </c>
      <c r="G744" s="9" t="s">
        <v>245</v>
      </c>
      <c r="H744" s="9" t="s">
        <v>18</v>
      </c>
      <c r="I744" s="9" t="s">
        <v>18</v>
      </c>
      <c r="J744" s="9" t="s">
        <v>43</v>
      </c>
      <c r="K744" s="9" t="s">
        <v>299</v>
      </c>
      <c r="M744" s="10">
        <v>4000</v>
      </c>
      <c r="N744" s="10">
        <v>4000</v>
      </c>
      <c r="O744" s="10">
        <v>4000</v>
      </c>
      <c r="P744" s="10">
        <v>4000</v>
      </c>
      <c r="Q744" s="10">
        <v>4000</v>
      </c>
      <c r="R744" s="10">
        <v>4000</v>
      </c>
      <c r="S744" s="10">
        <v>4000</v>
      </c>
      <c r="T744" s="10">
        <v>4000</v>
      </c>
      <c r="U744" s="10">
        <v>4000</v>
      </c>
      <c r="V744" s="10">
        <v>4000</v>
      </c>
      <c r="W744" s="10">
        <v>4000</v>
      </c>
      <c r="X744" s="10">
        <v>4000</v>
      </c>
      <c r="Y744" s="10">
        <f t="shared" si="12"/>
        <v>48000</v>
      </c>
    </row>
    <row r="745" spans="1:25" s="9" customFormat="1" ht="11.25" customHeight="1">
      <c r="A745" s="261">
        <v>2014</v>
      </c>
      <c r="B745" s="261" t="s">
        <v>573</v>
      </c>
      <c r="C745" s="9" t="s">
        <v>32</v>
      </c>
      <c r="D745" s="9" t="s">
        <v>32</v>
      </c>
      <c r="E745" s="9" t="s">
        <v>18</v>
      </c>
      <c r="F745" s="9" t="s">
        <v>245</v>
      </c>
      <c r="G745" s="9" t="s">
        <v>245</v>
      </c>
      <c r="H745" s="9" t="s">
        <v>18</v>
      </c>
      <c r="I745" s="9" t="s">
        <v>18</v>
      </c>
      <c r="J745" s="9" t="s">
        <v>43</v>
      </c>
      <c r="K745" s="9" t="s">
        <v>308</v>
      </c>
      <c r="M745" s="10">
        <v>1900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0</v>
      </c>
      <c r="X745" s="10">
        <v>0</v>
      </c>
      <c r="Y745" s="10">
        <f t="shared" si="12"/>
        <v>1900</v>
      </c>
    </row>
    <row r="746" spans="1:25" s="9" customFormat="1" ht="11.25" customHeight="1">
      <c r="A746" s="261">
        <v>2014</v>
      </c>
      <c r="B746" s="261" t="s">
        <v>573</v>
      </c>
      <c r="C746" s="9" t="s">
        <v>32</v>
      </c>
      <c r="D746" s="9" t="s">
        <v>32</v>
      </c>
      <c r="E746" s="9" t="s">
        <v>18</v>
      </c>
      <c r="F746" s="9" t="s">
        <v>245</v>
      </c>
      <c r="G746" s="9" t="s">
        <v>245</v>
      </c>
      <c r="H746" s="9" t="s">
        <v>18</v>
      </c>
      <c r="I746" s="9" t="s">
        <v>18</v>
      </c>
      <c r="J746" s="9" t="s">
        <v>43</v>
      </c>
      <c r="K746" s="9" t="s">
        <v>302</v>
      </c>
      <c r="M746" s="10">
        <v>2500</v>
      </c>
      <c r="N746" s="10">
        <v>2500</v>
      </c>
      <c r="O746" s="10">
        <v>2500</v>
      </c>
      <c r="P746" s="10">
        <v>2500</v>
      </c>
      <c r="Q746" s="10">
        <v>2500</v>
      </c>
      <c r="R746" s="10">
        <v>2500</v>
      </c>
      <c r="S746" s="10">
        <v>2500</v>
      </c>
      <c r="T746" s="10">
        <v>2500</v>
      </c>
      <c r="U746" s="10">
        <v>2500</v>
      </c>
      <c r="V746" s="10">
        <v>2500</v>
      </c>
      <c r="W746" s="10">
        <v>2500</v>
      </c>
      <c r="X746" s="10">
        <v>2500</v>
      </c>
      <c r="Y746" s="10">
        <f t="shared" si="12"/>
        <v>30000</v>
      </c>
    </row>
    <row r="747" spans="1:25" s="9" customFormat="1" ht="11.25" customHeight="1">
      <c r="A747" s="261">
        <v>2014</v>
      </c>
      <c r="B747" s="261" t="s">
        <v>573</v>
      </c>
      <c r="C747" s="9" t="s">
        <v>32</v>
      </c>
      <c r="D747" s="9" t="s">
        <v>32</v>
      </c>
      <c r="E747" s="9" t="s">
        <v>18</v>
      </c>
      <c r="F747" s="9" t="s">
        <v>245</v>
      </c>
      <c r="G747" s="9" t="s">
        <v>245</v>
      </c>
      <c r="H747" s="9" t="s">
        <v>18</v>
      </c>
      <c r="I747" s="9" t="s">
        <v>18</v>
      </c>
      <c r="J747" s="9" t="s">
        <v>43</v>
      </c>
      <c r="K747" s="9" t="s">
        <v>310</v>
      </c>
      <c r="M747" s="10">
        <v>5500</v>
      </c>
      <c r="N747" s="10">
        <v>5500</v>
      </c>
      <c r="O747" s="10">
        <v>5500</v>
      </c>
      <c r="P747" s="10">
        <v>5500</v>
      </c>
      <c r="Q747" s="10">
        <v>5500</v>
      </c>
      <c r="R747" s="10">
        <v>5500</v>
      </c>
      <c r="S747" s="10">
        <v>5500</v>
      </c>
      <c r="T747" s="10">
        <v>5500</v>
      </c>
      <c r="U747" s="10">
        <v>5500</v>
      </c>
      <c r="V747" s="10">
        <v>5500</v>
      </c>
      <c r="W747" s="10">
        <v>5500</v>
      </c>
      <c r="X747" s="10">
        <v>5500</v>
      </c>
      <c r="Y747" s="10">
        <f t="shared" si="12"/>
        <v>66000</v>
      </c>
    </row>
    <row r="748" spans="1:25" s="9" customFormat="1" ht="11.25" customHeight="1">
      <c r="A748" s="261">
        <v>2014</v>
      </c>
      <c r="B748" s="261" t="s">
        <v>573</v>
      </c>
      <c r="C748" s="9" t="s">
        <v>32</v>
      </c>
      <c r="D748" s="9" t="s">
        <v>32</v>
      </c>
      <c r="E748" s="9" t="s">
        <v>18</v>
      </c>
      <c r="F748" s="9" t="s">
        <v>245</v>
      </c>
      <c r="G748" s="9" t="s">
        <v>245</v>
      </c>
      <c r="H748" s="9" t="s">
        <v>18</v>
      </c>
      <c r="I748" s="9" t="s">
        <v>18</v>
      </c>
      <c r="J748" s="9" t="s">
        <v>43</v>
      </c>
      <c r="M748" s="10"/>
      <c r="N748" s="10"/>
      <c r="O748" s="422">
        <v>5700.03</v>
      </c>
      <c r="P748" s="422">
        <v>5700.0300000000007</v>
      </c>
      <c r="Q748" s="422">
        <v>5700.0300000000007</v>
      </c>
      <c r="R748" s="422">
        <v>7200.0300000000007</v>
      </c>
      <c r="S748" s="422">
        <v>7200.0300000000007</v>
      </c>
      <c r="T748" s="422">
        <v>7200.0300000000007</v>
      </c>
      <c r="U748" s="422">
        <v>7200.0300000000007</v>
      </c>
      <c r="V748" s="422">
        <v>7200.0300000000007</v>
      </c>
      <c r="W748" s="422">
        <v>7200.0300000000007</v>
      </c>
      <c r="X748" s="422">
        <v>7200.0300000000007</v>
      </c>
      <c r="Y748" s="422">
        <f t="shared" si="12"/>
        <v>67500.3</v>
      </c>
    </row>
    <row r="749" spans="1:25" s="9" customFormat="1" ht="11.25" customHeight="1">
      <c r="A749" s="261">
        <v>2014</v>
      </c>
      <c r="B749" s="261" t="s">
        <v>573</v>
      </c>
      <c r="C749" s="9" t="s">
        <v>32</v>
      </c>
      <c r="D749" s="9" t="s">
        <v>32</v>
      </c>
      <c r="E749" s="9" t="s">
        <v>18</v>
      </c>
      <c r="F749" s="9" t="s">
        <v>245</v>
      </c>
      <c r="G749" s="9" t="s">
        <v>245</v>
      </c>
      <c r="H749" s="9" t="s">
        <v>18</v>
      </c>
      <c r="I749" s="9" t="s">
        <v>18</v>
      </c>
      <c r="J749" s="9" t="s">
        <v>96</v>
      </c>
      <c r="M749" s="10"/>
      <c r="N749" s="10"/>
      <c r="O749" s="10"/>
      <c r="P749" s="10"/>
      <c r="Q749" s="10">
        <v>0</v>
      </c>
      <c r="R749" s="10"/>
      <c r="S749" s="10"/>
      <c r="T749" s="10"/>
      <c r="U749" s="10"/>
      <c r="V749" s="10"/>
      <c r="W749" s="10"/>
      <c r="X749" s="10"/>
      <c r="Y749" s="10">
        <f t="shared" si="12"/>
        <v>0</v>
      </c>
    </row>
    <row r="750" spans="1:25" s="9" customFormat="1" ht="11.25" customHeight="1">
      <c r="A750" s="261">
        <v>2014</v>
      </c>
      <c r="B750" s="261" t="s">
        <v>574</v>
      </c>
      <c r="C750" s="9" t="s">
        <v>32</v>
      </c>
      <c r="D750" s="9" t="s">
        <v>32</v>
      </c>
      <c r="E750" s="9" t="s">
        <v>45</v>
      </c>
      <c r="F750" s="9" t="s">
        <v>245</v>
      </c>
      <c r="G750" s="9" t="s">
        <v>245</v>
      </c>
      <c r="H750" s="9" t="s">
        <v>45</v>
      </c>
      <c r="I750" s="9" t="s">
        <v>45</v>
      </c>
      <c r="J750" s="9" t="s">
        <v>46</v>
      </c>
      <c r="L750" s="9" t="s">
        <v>315</v>
      </c>
      <c r="M750" s="10">
        <v>1475</v>
      </c>
      <c r="N750" s="10">
        <v>1970</v>
      </c>
      <c r="O750" s="10">
        <v>1915</v>
      </c>
      <c r="P750" s="10">
        <v>4490</v>
      </c>
      <c r="Q750" s="10">
        <v>9870</v>
      </c>
      <c r="R750" s="10">
        <v>10137</v>
      </c>
      <c r="S750" s="10">
        <v>9344</v>
      </c>
      <c r="T750" s="10">
        <v>5685</v>
      </c>
      <c r="U750" s="10">
        <v>1684</v>
      </c>
      <c r="V750" s="10">
        <v>1422</v>
      </c>
      <c r="W750" s="10">
        <v>1474</v>
      </c>
      <c r="X750" s="10">
        <v>1675</v>
      </c>
      <c r="Y750" s="10">
        <f t="shared" si="12"/>
        <v>51141</v>
      </c>
    </row>
    <row r="751" spans="1:25" s="9" customFormat="1" ht="11.25" customHeight="1">
      <c r="A751" s="261">
        <v>2014</v>
      </c>
      <c r="B751" s="261" t="s">
        <v>574</v>
      </c>
      <c r="C751" s="9" t="s">
        <v>32</v>
      </c>
      <c r="D751" s="9" t="s">
        <v>32</v>
      </c>
      <c r="E751" s="9" t="s">
        <v>45</v>
      </c>
      <c r="F751" s="9" t="s">
        <v>245</v>
      </c>
      <c r="G751" s="9" t="s">
        <v>245</v>
      </c>
      <c r="H751" s="9" t="s">
        <v>45</v>
      </c>
      <c r="I751" s="9" t="s">
        <v>45</v>
      </c>
      <c r="J751" s="9" t="s">
        <v>46</v>
      </c>
      <c r="L751" s="9" t="s">
        <v>424</v>
      </c>
      <c r="M751" s="10"/>
      <c r="N751" s="10"/>
      <c r="O751" s="10">
        <v>191</v>
      </c>
      <c r="P751" s="10">
        <v>314</v>
      </c>
      <c r="Q751" s="10">
        <v>521</v>
      </c>
      <c r="R751" s="10">
        <v>714</v>
      </c>
      <c r="S751" s="10">
        <v>714</v>
      </c>
      <c r="T751" s="10">
        <v>254</v>
      </c>
      <c r="U751" s="10">
        <v>200</v>
      </c>
      <c r="V751" s="10">
        <v>168</v>
      </c>
      <c r="W751" s="10">
        <v>168</v>
      </c>
      <c r="X751" s="10">
        <v>168</v>
      </c>
      <c r="Y751" s="10">
        <f t="shared" si="12"/>
        <v>3412</v>
      </c>
    </row>
    <row r="752" spans="1:25" s="9" customFormat="1" ht="11.25" customHeight="1">
      <c r="A752" s="261">
        <v>2014</v>
      </c>
      <c r="B752" s="261" t="s">
        <v>574</v>
      </c>
      <c r="C752" s="9" t="s">
        <v>32</v>
      </c>
      <c r="D752" s="9" t="s">
        <v>32</v>
      </c>
      <c r="E752" s="9" t="s">
        <v>45</v>
      </c>
      <c r="F752" s="9" t="s">
        <v>245</v>
      </c>
      <c r="G752" s="9" t="s">
        <v>245</v>
      </c>
      <c r="H752" s="9" t="s">
        <v>45</v>
      </c>
      <c r="I752" s="9" t="s">
        <v>45</v>
      </c>
      <c r="J752" s="9" t="s">
        <v>46</v>
      </c>
      <c r="L752" s="9" t="s">
        <v>317</v>
      </c>
      <c r="M752" s="10">
        <v>345</v>
      </c>
      <c r="N752" s="10">
        <v>530</v>
      </c>
      <c r="O752" s="10">
        <v>940</v>
      </c>
      <c r="P752" s="10">
        <v>2000</v>
      </c>
      <c r="Q752" s="10">
        <v>2723</v>
      </c>
      <c r="R752" s="10">
        <v>3300</v>
      </c>
      <c r="S752" s="10">
        <v>3300</v>
      </c>
      <c r="T752" s="10">
        <v>2800</v>
      </c>
      <c r="U752" s="10">
        <v>1200</v>
      </c>
      <c r="V752" s="10">
        <v>400</v>
      </c>
      <c r="W752" s="10">
        <v>400</v>
      </c>
      <c r="X752" s="10">
        <v>400</v>
      </c>
      <c r="Y752" s="10">
        <f t="shared" si="12"/>
        <v>18338</v>
      </c>
    </row>
    <row r="753" spans="1:25" s="9" customFormat="1" ht="11.25" customHeight="1">
      <c r="A753" s="261">
        <v>2014</v>
      </c>
      <c r="B753" s="261" t="s">
        <v>574</v>
      </c>
      <c r="C753" s="9" t="s">
        <v>32</v>
      </c>
      <c r="D753" s="9" t="s">
        <v>32</v>
      </c>
      <c r="E753" s="9" t="s">
        <v>45</v>
      </c>
      <c r="F753" s="9" t="s">
        <v>245</v>
      </c>
      <c r="G753" s="9" t="s">
        <v>245</v>
      </c>
      <c r="H753" s="9" t="s">
        <v>45</v>
      </c>
      <c r="I753" s="9" t="s">
        <v>45</v>
      </c>
      <c r="J753" s="9" t="s">
        <v>46</v>
      </c>
      <c r="L753" s="9" t="s">
        <v>313</v>
      </c>
      <c r="M753" s="10">
        <v>1028</v>
      </c>
      <c r="N753" s="10">
        <v>1228</v>
      </c>
      <c r="O753" s="10">
        <v>1503</v>
      </c>
      <c r="P753" s="10">
        <v>2468</v>
      </c>
      <c r="Q753" s="10">
        <v>3753</v>
      </c>
      <c r="R753" s="10">
        <v>3465</v>
      </c>
      <c r="S753" s="10">
        <v>3070</v>
      </c>
      <c r="T753" s="10">
        <v>2202</v>
      </c>
      <c r="U753" s="10">
        <v>1183</v>
      </c>
      <c r="V753" s="10">
        <v>1183</v>
      </c>
      <c r="W753" s="10">
        <v>1183</v>
      </c>
      <c r="X753" s="10">
        <v>1383</v>
      </c>
      <c r="Y753" s="10">
        <f t="shared" si="12"/>
        <v>23649</v>
      </c>
    </row>
    <row r="754" spans="1:25" s="9" customFormat="1" ht="11.25" customHeight="1">
      <c r="A754" s="261">
        <v>2014</v>
      </c>
      <c r="B754" s="261" t="s">
        <v>574</v>
      </c>
      <c r="C754" s="9" t="s">
        <v>32</v>
      </c>
      <c r="D754" s="9" t="s">
        <v>32</v>
      </c>
      <c r="E754" s="9" t="s">
        <v>45</v>
      </c>
      <c r="F754" s="9" t="s">
        <v>245</v>
      </c>
      <c r="G754" s="9" t="s">
        <v>245</v>
      </c>
      <c r="H754" s="9" t="s">
        <v>45</v>
      </c>
      <c r="I754" s="9" t="s">
        <v>45</v>
      </c>
      <c r="J754" s="9" t="s">
        <v>46</v>
      </c>
      <c r="L754" s="9" t="s">
        <v>319</v>
      </c>
      <c r="M754" s="10">
        <v>175</v>
      </c>
      <c r="N754" s="10">
        <v>175</v>
      </c>
      <c r="O754" s="10">
        <v>175</v>
      </c>
      <c r="P754" s="10">
        <v>195</v>
      </c>
      <c r="Q754" s="10">
        <v>356</v>
      </c>
      <c r="R754" s="10">
        <v>356</v>
      </c>
      <c r="S754" s="10">
        <v>356</v>
      </c>
      <c r="T754" s="10">
        <v>173</v>
      </c>
      <c r="U754" s="10">
        <v>101</v>
      </c>
      <c r="V754" s="10">
        <v>101</v>
      </c>
      <c r="W754" s="10">
        <v>101</v>
      </c>
      <c r="X754" s="10">
        <v>101</v>
      </c>
      <c r="Y754" s="10">
        <f t="shared" si="12"/>
        <v>2365</v>
      </c>
    </row>
    <row r="755" spans="1:25" s="9" customFormat="1" ht="11.25" customHeight="1">
      <c r="A755" s="261">
        <v>2014</v>
      </c>
      <c r="B755" s="261" t="s">
        <v>574</v>
      </c>
      <c r="C755" s="9" t="s">
        <v>32</v>
      </c>
      <c r="D755" s="9" t="s">
        <v>32</v>
      </c>
      <c r="E755" s="9" t="s">
        <v>45</v>
      </c>
      <c r="F755" s="9" t="s">
        <v>245</v>
      </c>
      <c r="G755" s="9" t="s">
        <v>245</v>
      </c>
      <c r="H755" s="9" t="s">
        <v>45</v>
      </c>
      <c r="I755" s="9" t="s">
        <v>45</v>
      </c>
      <c r="J755" s="9" t="s">
        <v>46</v>
      </c>
      <c r="L755" s="9" t="s">
        <v>312</v>
      </c>
      <c r="M755" s="10">
        <v>132</v>
      </c>
      <c r="N755" s="10">
        <v>132</v>
      </c>
      <c r="O755" s="10">
        <v>189</v>
      </c>
      <c r="P755" s="10">
        <v>189</v>
      </c>
      <c r="Q755" s="10">
        <v>459</v>
      </c>
      <c r="R755" s="10">
        <v>503</v>
      </c>
      <c r="S755" s="10">
        <v>309</v>
      </c>
      <c r="T755" s="10">
        <v>309</v>
      </c>
      <c r="U755" s="10">
        <v>242</v>
      </c>
      <c r="V755" s="10">
        <v>148</v>
      </c>
      <c r="W755" s="10">
        <v>148</v>
      </c>
      <c r="X755" s="10">
        <v>148</v>
      </c>
      <c r="Y755" s="10">
        <f t="shared" si="12"/>
        <v>2908</v>
      </c>
    </row>
    <row r="756" spans="1:25" s="9" customFormat="1" ht="11.25" customHeight="1">
      <c r="A756" s="261">
        <v>2014</v>
      </c>
      <c r="B756" s="261" t="s">
        <v>574</v>
      </c>
      <c r="C756" s="9" t="s">
        <v>32</v>
      </c>
      <c r="D756" s="9" t="s">
        <v>32</v>
      </c>
      <c r="E756" s="9" t="s">
        <v>45</v>
      </c>
      <c r="F756" s="9" t="s">
        <v>245</v>
      </c>
      <c r="G756" s="9" t="s">
        <v>245</v>
      </c>
      <c r="H756" s="9" t="s">
        <v>45</v>
      </c>
      <c r="I756" s="9" t="s">
        <v>45</v>
      </c>
      <c r="J756" s="9" t="s">
        <v>46</v>
      </c>
      <c r="L756" s="9" t="s">
        <v>314</v>
      </c>
      <c r="M756" s="10">
        <v>459</v>
      </c>
      <c r="N756" s="10">
        <v>490</v>
      </c>
      <c r="O756" s="10">
        <v>743</v>
      </c>
      <c r="P756" s="10">
        <v>1181</v>
      </c>
      <c r="Q756" s="10">
        <v>2083</v>
      </c>
      <c r="R756" s="10">
        <v>2083</v>
      </c>
      <c r="S756" s="10">
        <v>1720</v>
      </c>
      <c r="T756" s="10">
        <v>1285</v>
      </c>
      <c r="U756" s="10">
        <v>523</v>
      </c>
      <c r="V756" s="10">
        <v>523</v>
      </c>
      <c r="W756" s="10">
        <v>523</v>
      </c>
      <c r="X756" s="10">
        <v>560</v>
      </c>
      <c r="Y756" s="10">
        <f t="shared" si="12"/>
        <v>12173</v>
      </c>
    </row>
    <row r="757" spans="1:25" s="9" customFormat="1" ht="11.25" customHeight="1">
      <c r="A757" s="261">
        <v>2014</v>
      </c>
      <c r="B757" s="261" t="s">
        <v>574</v>
      </c>
      <c r="C757" s="9" t="s">
        <v>32</v>
      </c>
      <c r="D757" s="9" t="s">
        <v>32</v>
      </c>
      <c r="E757" s="9" t="s">
        <v>45</v>
      </c>
      <c r="F757" s="9" t="s">
        <v>245</v>
      </c>
      <c r="G757" s="9" t="s">
        <v>245</v>
      </c>
      <c r="H757" s="9" t="s">
        <v>45</v>
      </c>
      <c r="I757" s="9" t="s">
        <v>45</v>
      </c>
      <c r="J757" s="9" t="s">
        <v>46</v>
      </c>
      <c r="L757" s="9" t="s">
        <v>318</v>
      </c>
      <c r="M757" s="10">
        <v>1750</v>
      </c>
      <c r="N757" s="10">
        <v>1800</v>
      </c>
      <c r="O757" s="10">
        <v>2000</v>
      </c>
      <c r="P757" s="10">
        <v>2000</v>
      </c>
      <c r="Q757" s="10">
        <v>2000</v>
      </c>
      <c r="R757" s="10">
        <v>2000</v>
      </c>
      <c r="S757" s="10">
        <v>3000</v>
      </c>
      <c r="T757" s="10">
        <v>2000</v>
      </c>
      <c r="U757" s="10">
        <v>1500</v>
      </c>
      <c r="V757" s="10">
        <v>1400</v>
      </c>
      <c r="W757" s="10">
        <v>1200</v>
      </c>
      <c r="X757" s="10">
        <v>1200</v>
      </c>
      <c r="Y757" s="10">
        <f t="shared" si="12"/>
        <v>21850</v>
      </c>
    </row>
    <row r="758" spans="1:25" s="9" customFormat="1" ht="11.25" customHeight="1">
      <c r="A758" s="261">
        <v>2014</v>
      </c>
      <c r="B758" s="261" t="s">
        <v>574</v>
      </c>
      <c r="C758" s="9" t="s">
        <v>32</v>
      </c>
      <c r="D758" s="9" t="s">
        <v>32</v>
      </c>
      <c r="E758" s="9" t="s">
        <v>45</v>
      </c>
      <c r="F758" s="9" t="s">
        <v>245</v>
      </c>
      <c r="G758" s="9" t="s">
        <v>245</v>
      </c>
      <c r="H758" s="9" t="s">
        <v>45</v>
      </c>
      <c r="I758" s="9" t="s">
        <v>45</v>
      </c>
      <c r="J758" s="9" t="s">
        <v>46</v>
      </c>
      <c r="L758" s="9" t="s">
        <v>316</v>
      </c>
      <c r="M758" s="10">
        <v>1854</v>
      </c>
      <c r="N758" s="10">
        <v>2235</v>
      </c>
      <c r="O758" s="10">
        <v>3951</v>
      </c>
      <c r="P758" s="10">
        <v>8383</v>
      </c>
      <c r="Q758" s="10">
        <v>15987</v>
      </c>
      <c r="R758" s="10">
        <v>22653</v>
      </c>
      <c r="S758" s="10">
        <v>25251</v>
      </c>
      <c r="T758" s="10">
        <v>15565</v>
      </c>
      <c r="U758" s="10">
        <v>4118</v>
      </c>
      <c r="V758" s="10">
        <v>2378</v>
      </c>
      <c r="W758" s="10">
        <v>2250</v>
      </c>
      <c r="X758" s="10">
        <v>2250</v>
      </c>
      <c r="Y758" s="10">
        <f t="shared" si="12"/>
        <v>106875</v>
      </c>
    </row>
    <row r="759" spans="1:25" s="9" customFormat="1" ht="11.25" customHeight="1">
      <c r="A759" s="261">
        <v>2014</v>
      </c>
      <c r="B759" s="261" t="s">
        <v>574</v>
      </c>
      <c r="C759" s="9" t="s">
        <v>32</v>
      </c>
      <c r="D759" s="9" t="s">
        <v>32</v>
      </c>
      <c r="E759" s="9" t="s">
        <v>45</v>
      </c>
      <c r="F759" s="9" t="s">
        <v>245</v>
      </c>
      <c r="G759" s="9" t="s">
        <v>245</v>
      </c>
      <c r="H759" s="9" t="s">
        <v>45</v>
      </c>
      <c r="I759" s="9" t="s">
        <v>45</v>
      </c>
      <c r="J759" s="9" t="s">
        <v>46</v>
      </c>
      <c r="M759" s="10"/>
      <c r="N759" s="10"/>
      <c r="O759" s="422">
        <v>198</v>
      </c>
      <c r="P759" s="422">
        <v>582</v>
      </c>
      <c r="Q759" s="422">
        <v>862</v>
      </c>
      <c r="R759" s="422">
        <v>1009</v>
      </c>
      <c r="S759" s="422">
        <v>830</v>
      </c>
      <c r="T759" s="422">
        <v>430</v>
      </c>
      <c r="U759" s="422">
        <v>350</v>
      </c>
      <c r="V759" s="422">
        <v>350</v>
      </c>
      <c r="W759" s="422">
        <v>350</v>
      </c>
      <c r="X759" s="422">
        <v>350</v>
      </c>
      <c r="Y759" s="422">
        <f t="shared" si="12"/>
        <v>5311</v>
      </c>
    </row>
    <row r="760" spans="1:25" s="9" customFormat="1" ht="11.25">
      <c r="A760" s="261">
        <v>2014</v>
      </c>
      <c r="B760" s="261" t="s">
        <v>574</v>
      </c>
      <c r="C760" s="9" t="s">
        <v>32</v>
      </c>
      <c r="D760" s="9" t="s">
        <v>9</v>
      </c>
      <c r="E760" s="9" t="s">
        <v>10</v>
      </c>
      <c r="F760" s="9" t="s">
        <v>245</v>
      </c>
      <c r="G760" s="9" t="s">
        <v>245</v>
      </c>
      <c r="H760" s="9" t="s">
        <v>9</v>
      </c>
      <c r="I760" s="9" t="s">
        <v>10</v>
      </c>
      <c r="J760" s="9" t="s">
        <v>324</v>
      </c>
      <c r="M760" s="10">
        <v>33240.449037735583</v>
      </c>
      <c r="N760" s="10">
        <v>36174.524583707869</v>
      </c>
      <c r="O760" s="10">
        <v>53208.976221545061</v>
      </c>
      <c r="P760" s="10">
        <v>100699</v>
      </c>
      <c r="Q760" s="10">
        <v>240703</v>
      </c>
      <c r="R760" s="10">
        <v>258306</v>
      </c>
      <c r="S760" s="10">
        <v>208239</v>
      </c>
      <c r="T760" s="10">
        <v>124152</v>
      </c>
      <c r="U760" s="10">
        <v>51644.076346682203</v>
      </c>
      <c r="V760" s="10">
        <v>40094.853044440228</v>
      </c>
      <c r="W760" s="10">
        <v>38747.508979180297</v>
      </c>
      <c r="X760" s="10">
        <v>42947.262069927543</v>
      </c>
      <c r="Y760" s="10">
        <f t="shared" si="12"/>
        <v>1228156.6502832188</v>
      </c>
    </row>
    <row r="761" spans="1:25" s="9" customFormat="1" ht="11.25">
      <c r="A761" s="261">
        <v>2014</v>
      </c>
      <c r="B761" s="261" t="s">
        <v>574</v>
      </c>
      <c r="C761" s="9" t="s">
        <v>32</v>
      </c>
      <c r="D761" s="9" t="s">
        <v>9</v>
      </c>
      <c r="E761" s="9" t="s">
        <v>10</v>
      </c>
      <c r="F761" s="9" t="s">
        <v>245</v>
      </c>
      <c r="G761" s="9" t="s">
        <v>245</v>
      </c>
      <c r="H761" s="9" t="s">
        <v>9</v>
      </c>
      <c r="I761" s="9" t="s">
        <v>10</v>
      </c>
      <c r="J761" s="9" t="s">
        <v>11</v>
      </c>
      <c r="M761" s="10">
        <v>47367.639878773196</v>
      </c>
      <c r="N761" s="10">
        <v>51548.697531783706</v>
      </c>
      <c r="O761" s="10">
        <v>75822.791115701708</v>
      </c>
      <c r="P761" s="10">
        <v>151997</v>
      </c>
      <c r="Q761" s="10">
        <v>355752</v>
      </c>
      <c r="R761" s="10">
        <v>355835</v>
      </c>
      <c r="S761" s="10">
        <v>270991</v>
      </c>
      <c r="T761" s="10">
        <v>185417</v>
      </c>
      <c r="U761" s="10">
        <v>73592.80879402213</v>
      </c>
      <c r="V761" s="10">
        <v>57135.165588327312</v>
      </c>
      <c r="W761" s="10">
        <v>55215.200295331917</v>
      </c>
      <c r="X761" s="10">
        <v>61199.848449646743</v>
      </c>
      <c r="Y761" s="10">
        <f t="shared" si="12"/>
        <v>1741874.1516535867</v>
      </c>
    </row>
    <row r="762" spans="1:25" s="9" customFormat="1" ht="11.25">
      <c r="A762" s="261">
        <v>2014</v>
      </c>
      <c r="B762" s="261" t="s">
        <v>574</v>
      </c>
      <c r="C762" s="9" t="s">
        <v>32</v>
      </c>
      <c r="D762" s="9" t="s">
        <v>9</v>
      </c>
      <c r="E762" s="9" t="s">
        <v>10</v>
      </c>
      <c r="F762" s="9" t="s">
        <v>245</v>
      </c>
      <c r="G762" s="9" t="s">
        <v>245</v>
      </c>
      <c r="H762" s="9" t="s">
        <v>9</v>
      </c>
      <c r="I762" s="9" t="s">
        <v>10</v>
      </c>
      <c r="J762" s="9" t="s">
        <v>325</v>
      </c>
      <c r="M762" s="10">
        <v>5000</v>
      </c>
      <c r="N762" s="10">
        <v>5000</v>
      </c>
      <c r="O762" s="10">
        <v>5000</v>
      </c>
      <c r="P762" s="10">
        <v>5000</v>
      </c>
      <c r="Q762" s="10">
        <v>15000</v>
      </c>
      <c r="R762" s="10">
        <v>15000</v>
      </c>
      <c r="S762" s="10">
        <v>15000</v>
      </c>
      <c r="T762" s="10">
        <v>5000</v>
      </c>
      <c r="U762" s="10">
        <v>5000</v>
      </c>
      <c r="V762" s="10">
        <v>5000</v>
      </c>
      <c r="W762" s="10"/>
      <c r="X762" s="10"/>
      <c r="Y762" s="10">
        <f t="shared" si="12"/>
        <v>80000</v>
      </c>
    </row>
    <row r="763" spans="1:25" s="9" customFormat="1" ht="11.25" customHeight="1">
      <c r="A763" s="261">
        <v>2014</v>
      </c>
      <c r="B763" s="261" t="s">
        <v>573</v>
      </c>
      <c r="C763" s="9" t="s">
        <v>32</v>
      </c>
      <c r="D763" s="9" t="s">
        <v>32</v>
      </c>
      <c r="E763" s="9" t="s">
        <v>29</v>
      </c>
      <c r="F763" s="9" t="s">
        <v>245</v>
      </c>
      <c r="G763" s="9" t="s">
        <v>245</v>
      </c>
      <c r="H763" s="9" t="s">
        <v>29</v>
      </c>
      <c r="I763" s="9" t="s">
        <v>29</v>
      </c>
      <c r="J763" s="9" t="s">
        <v>95</v>
      </c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>
        <f t="shared" si="12"/>
        <v>0</v>
      </c>
    </row>
    <row r="764" spans="1:25" s="9" customFormat="1" ht="11.25" customHeight="1">
      <c r="A764" s="261">
        <v>2014</v>
      </c>
      <c r="B764" s="261" t="s">
        <v>573</v>
      </c>
      <c r="C764" s="9" t="s">
        <v>32</v>
      </c>
      <c r="D764" s="9" t="s">
        <v>32</v>
      </c>
      <c r="E764" s="9" t="s">
        <v>29</v>
      </c>
      <c r="F764" s="9" t="s">
        <v>245</v>
      </c>
      <c r="G764" s="9" t="s">
        <v>245</v>
      </c>
      <c r="H764" s="9" t="s">
        <v>29</v>
      </c>
      <c r="I764" s="9" t="s">
        <v>29</v>
      </c>
      <c r="J764" s="9" t="s">
        <v>30</v>
      </c>
      <c r="M764" s="10">
        <v>1000</v>
      </c>
      <c r="N764" s="10">
        <v>1000</v>
      </c>
      <c r="O764" s="10">
        <v>1000</v>
      </c>
      <c r="P764" s="10">
        <v>1000</v>
      </c>
      <c r="Q764" s="10">
        <v>1000</v>
      </c>
      <c r="R764" s="10">
        <v>1000</v>
      </c>
      <c r="S764" s="10">
        <v>1000</v>
      </c>
      <c r="T764" s="10">
        <v>1000</v>
      </c>
      <c r="U764" s="10">
        <v>1000</v>
      </c>
      <c r="V764" s="10">
        <v>1000</v>
      </c>
      <c r="W764" s="10">
        <v>1000</v>
      </c>
      <c r="X764" s="10">
        <v>1000</v>
      </c>
      <c r="Y764" s="10">
        <f t="shared" si="12"/>
        <v>12000</v>
      </c>
    </row>
    <row r="765" spans="1:25" s="9" customFormat="1" ht="11.25" customHeight="1">
      <c r="A765" s="261">
        <v>2014</v>
      </c>
      <c r="B765" s="261" t="s">
        <v>574</v>
      </c>
      <c r="C765" s="9" t="s">
        <v>32</v>
      </c>
      <c r="D765" s="9" t="s">
        <v>152</v>
      </c>
      <c r="E765" s="9" t="s">
        <v>153</v>
      </c>
      <c r="F765" s="9" t="s">
        <v>245</v>
      </c>
      <c r="G765" s="9" t="s">
        <v>245</v>
      </c>
      <c r="H765" s="9" t="s">
        <v>152</v>
      </c>
      <c r="I765" s="9" t="s">
        <v>153</v>
      </c>
      <c r="J765" s="9" t="s">
        <v>153</v>
      </c>
      <c r="L765" s="9" t="s">
        <v>323</v>
      </c>
      <c r="M765" s="10">
        <v>6000</v>
      </c>
      <c r="N765" s="10">
        <v>6000</v>
      </c>
      <c r="O765" s="10">
        <v>8000</v>
      </c>
      <c r="P765" s="10">
        <v>10000</v>
      </c>
      <c r="Q765" s="10">
        <v>16000</v>
      </c>
      <c r="R765" s="10">
        <v>18000</v>
      </c>
      <c r="S765" s="10">
        <v>19000</v>
      </c>
      <c r="T765" s="10">
        <v>16000</v>
      </c>
      <c r="U765" s="10">
        <v>9000</v>
      </c>
      <c r="V765" s="10">
        <v>7000</v>
      </c>
      <c r="W765" s="10">
        <v>6000</v>
      </c>
      <c r="X765" s="10">
        <v>6000</v>
      </c>
      <c r="Y765" s="10">
        <f t="shared" si="12"/>
        <v>127000</v>
      </c>
    </row>
    <row r="766" spans="1:25" s="9" customFormat="1" ht="11.25" customHeight="1">
      <c r="A766" s="261">
        <v>2014</v>
      </c>
      <c r="B766" s="261" t="s">
        <v>574</v>
      </c>
      <c r="C766" s="9" t="s">
        <v>32</v>
      </c>
      <c r="D766" s="9" t="s">
        <v>152</v>
      </c>
      <c r="E766" s="9" t="s">
        <v>153</v>
      </c>
      <c r="F766" s="9" t="s">
        <v>245</v>
      </c>
      <c r="G766" s="9" t="s">
        <v>245</v>
      </c>
      <c r="H766" s="9" t="s">
        <v>152</v>
      </c>
      <c r="I766" s="9" t="s">
        <v>153</v>
      </c>
      <c r="J766" s="9" t="s">
        <v>153</v>
      </c>
      <c r="L766" s="9" t="s">
        <v>321</v>
      </c>
      <c r="M766" s="10">
        <v>14000</v>
      </c>
      <c r="N766" s="10">
        <v>14000</v>
      </c>
      <c r="O766" s="10">
        <v>15000</v>
      </c>
      <c r="P766" s="10">
        <v>14000</v>
      </c>
      <c r="Q766" s="10">
        <v>18000</v>
      </c>
      <c r="R766" s="10">
        <v>21000</v>
      </c>
      <c r="S766" s="10">
        <v>20000</v>
      </c>
      <c r="T766" s="10">
        <v>18000</v>
      </c>
      <c r="U766" s="10">
        <v>13000</v>
      </c>
      <c r="V766" s="10">
        <v>11000</v>
      </c>
      <c r="W766" s="10">
        <v>9000</v>
      </c>
      <c r="X766" s="10">
        <v>9000</v>
      </c>
      <c r="Y766" s="10">
        <f t="shared" si="12"/>
        <v>176000</v>
      </c>
    </row>
    <row r="767" spans="1:25" s="9" customFormat="1" ht="11.25" customHeight="1">
      <c r="A767" s="261">
        <v>2014</v>
      </c>
      <c r="B767" s="261" t="s">
        <v>574</v>
      </c>
      <c r="C767" s="9" t="s">
        <v>32</v>
      </c>
      <c r="D767" s="9" t="s">
        <v>152</v>
      </c>
      <c r="E767" s="9" t="s">
        <v>153</v>
      </c>
      <c r="F767" s="9" t="s">
        <v>245</v>
      </c>
      <c r="G767" s="9" t="s">
        <v>245</v>
      </c>
      <c r="H767" s="9" t="s">
        <v>152</v>
      </c>
      <c r="I767" s="9" t="s">
        <v>153</v>
      </c>
      <c r="J767" s="9" t="s">
        <v>153</v>
      </c>
      <c r="L767" s="9" t="s">
        <v>322</v>
      </c>
      <c r="M767" s="10">
        <v>1050</v>
      </c>
      <c r="N767" s="10">
        <v>1050</v>
      </c>
      <c r="O767" s="10">
        <v>1050</v>
      </c>
      <c r="P767" s="10">
        <v>1800</v>
      </c>
      <c r="Q767" s="10">
        <v>2400</v>
      </c>
      <c r="R767" s="10">
        <v>2400</v>
      </c>
      <c r="S767" s="10">
        <v>2400</v>
      </c>
      <c r="T767" s="10">
        <v>2000</v>
      </c>
      <c r="U767" s="10">
        <v>1100</v>
      </c>
      <c r="V767" s="10">
        <v>800</v>
      </c>
      <c r="W767" s="10">
        <v>600</v>
      </c>
      <c r="X767" s="10">
        <v>600</v>
      </c>
      <c r="Y767" s="10">
        <f t="shared" si="12"/>
        <v>17250</v>
      </c>
    </row>
    <row r="768" spans="1:25" s="9" customFormat="1" ht="11.25" customHeight="1">
      <c r="A768" s="261">
        <v>2014</v>
      </c>
      <c r="B768" s="261" t="s">
        <v>574</v>
      </c>
      <c r="C768" s="9" t="s">
        <v>32</v>
      </c>
      <c r="D768" s="9" t="s">
        <v>152</v>
      </c>
      <c r="E768" s="9" t="s">
        <v>153</v>
      </c>
      <c r="F768" s="9" t="s">
        <v>245</v>
      </c>
      <c r="G768" s="9" t="s">
        <v>245</v>
      </c>
      <c r="H768" s="9" t="s">
        <v>152</v>
      </c>
      <c r="I768" s="9" t="s">
        <v>153</v>
      </c>
      <c r="J768" s="9" t="s">
        <v>153</v>
      </c>
      <c r="L768" s="9" t="s">
        <v>320</v>
      </c>
      <c r="M768" s="10">
        <v>600</v>
      </c>
      <c r="N768" s="10">
        <v>600</v>
      </c>
      <c r="O768" s="10">
        <v>750</v>
      </c>
      <c r="P768" s="10">
        <v>900</v>
      </c>
      <c r="Q768" s="10">
        <v>1600</v>
      </c>
      <c r="R768" s="10">
        <v>2000</v>
      </c>
      <c r="S768" s="10">
        <v>2000</v>
      </c>
      <c r="T768" s="10">
        <v>1800</v>
      </c>
      <c r="U768" s="10">
        <v>900</v>
      </c>
      <c r="V768" s="10">
        <v>600</v>
      </c>
      <c r="W768" s="10">
        <v>450</v>
      </c>
      <c r="X768" s="10">
        <v>450</v>
      </c>
      <c r="Y768" s="10">
        <f t="shared" si="12"/>
        <v>12650</v>
      </c>
    </row>
    <row r="769" spans="1:25" s="9" customFormat="1" ht="11.25" customHeight="1">
      <c r="A769" s="261">
        <v>2014</v>
      </c>
      <c r="B769" s="261" t="s">
        <v>574</v>
      </c>
      <c r="C769" s="9" t="s">
        <v>32</v>
      </c>
      <c r="D769" s="9" t="s">
        <v>152</v>
      </c>
      <c r="E769" s="9" t="s">
        <v>153</v>
      </c>
      <c r="F769" s="9" t="s">
        <v>245</v>
      </c>
      <c r="G769" s="9" t="s">
        <v>245</v>
      </c>
      <c r="H769" s="9" t="s">
        <v>152</v>
      </c>
      <c r="I769" s="9" t="s">
        <v>153</v>
      </c>
      <c r="J769" s="9" t="s">
        <v>153</v>
      </c>
      <c r="L769" s="9" t="s">
        <v>246</v>
      </c>
      <c r="M769" s="10">
        <v>10000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>
        <f t="shared" si="12"/>
        <v>10000</v>
      </c>
    </row>
    <row r="770" spans="1:25" s="9" customFormat="1" ht="11.25" customHeight="1">
      <c r="A770" s="261">
        <v>2014</v>
      </c>
      <c r="B770" s="261" t="s">
        <v>574</v>
      </c>
      <c r="C770" s="9" t="s">
        <v>32</v>
      </c>
      <c r="D770" s="9" t="s">
        <v>152</v>
      </c>
      <c r="E770" s="9" t="s">
        <v>153</v>
      </c>
      <c r="F770" s="9" t="s">
        <v>245</v>
      </c>
      <c r="G770" s="9" t="s">
        <v>245</v>
      </c>
      <c r="H770" s="9" t="s">
        <v>152</v>
      </c>
      <c r="I770" s="9" t="s">
        <v>153</v>
      </c>
      <c r="J770" s="9" t="s">
        <v>153</v>
      </c>
      <c r="L770" s="9" t="s">
        <v>318</v>
      </c>
      <c r="M770" s="10">
        <v>3600</v>
      </c>
      <c r="N770" s="10">
        <v>3600</v>
      </c>
      <c r="O770" s="10">
        <v>3600</v>
      </c>
      <c r="P770" s="10">
        <v>3600</v>
      </c>
      <c r="Q770" s="10">
        <v>3600</v>
      </c>
      <c r="R770" s="10">
        <v>3600</v>
      </c>
      <c r="S770" s="10">
        <v>3600</v>
      </c>
      <c r="T770" s="10">
        <v>3600</v>
      </c>
      <c r="U770" s="10">
        <v>3600</v>
      </c>
      <c r="V770" s="10">
        <v>3600</v>
      </c>
      <c r="W770" s="10">
        <v>3600</v>
      </c>
      <c r="X770" s="10">
        <v>3600</v>
      </c>
      <c r="Y770" s="10">
        <f t="shared" ref="Y770:Y800" si="13">SUM(M770:X770)</f>
        <v>43200</v>
      </c>
    </row>
    <row r="771" spans="1:25" s="9" customFormat="1" ht="11.25" customHeight="1">
      <c r="A771" s="261">
        <v>2014</v>
      </c>
      <c r="B771" s="261" t="s">
        <v>573</v>
      </c>
      <c r="C771" s="9" t="s">
        <v>32</v>
      </c>
      <c r="D771" s="9" t="s">
        <v>32</v>
      </c>
      <c r="E771" s="9" t="s">
        <v>12</v>
      </c>
      <c r="F771" s="9" t="s">
        <v>245</v>
      </c>
      <c r="G771" s="9" t="s">
        <v>245</v>
      </c>
      <c r="H771" s="9" t="s">
        <v>12</v>
      </c>
      <c r="I771" s="9" t="s">
        <v>12</v>
      </c>
      <c r="J771" s="9" t="s">
        <v>134</v>
      </c>
      <c r="K771" s="9" t="s">
        <v>304</v>
      </c>
      <c r="M771" s="10">
        <v>110</v>
      </c>
      <c r="N771" s="10">
        <v>110</v>
      </c>
      <c r="O771" s="10">
        <v>110</v>
      </c>
      <c r="P771" s="10">
        <v>110</v>
      </c>
      <c r="Q771" s="10">
        <v>110</v>
      </c>
      <c r="R771" s="10">
        <v>110</v>
      </c>
      <c r="S771" s="10">
        <v>110</v>
      </c>
      <c r="T771" s="10">
        <v>110</v>
      </c>
      <c r="U771" s="10">
        <v>110</v>
      </c>
      <c r="V771" s="10">
        <v>110</v>
      </c>
      <c r="W771" s="10">
        <v>110</v>
      </c>
      <c r="X771" s="10">
        <v>110</v>
      </c>
      <c r="Y771" s="10">
        <f t="shared" si="13"/>
        <v>1320</v>
      </c>
    </row>
    <row r="772" spans="1:25" s="9" customFormat="1" ht="11.25" customHeight="1">
      <c r="A772" s="261">
        <v>2014</v>
      </c>
      <c r="B772" s="261" t="s">
        <v>573</v>
      </c>
      <c r="C772" s="9" t="s">
        <v>32</v>
      </c>
      <c r="D772" s="9" t="s">
        <v>32</v>
      </c>
      <c r="E772" s="9" t="s">
        <v>12</v>
      </c>
      <c r="F772" s="9" t="s">
        <v>245</v>
      </c>
      <c r="G772" s="9" t="s">
        <v>245</v>
      </c>
      <c r="H772" s="9" t="s">
        <v>12</v>
      </c>
      <c r="I772" s="9" t="s">
        <v>12</v>
      </c>
      <c r="J772" s="9" t="s">
        <v>134</v>
      </c>
      <c r="K772" s="9" t="s">
        <v>301</v>
      </c>
      <c r="M772" s="10">
        <v>110</v>
      </c>
      <c r="N772" s="10">
        <v>110</v>
      </c>
      <c r="O772" s="10">
        <v>110</v>
      </c>
      <c r="P772" s="10">
        <v>110</v>
      </c>
      <c r="Q772" s="10">
        <v>110</v>
      </c>
      <c r="R772" s="10">
        <v>110</v>
      </c>
      <c r="S772" s="10">
        <v>110</v>
      </c>
      <c r="T772" s="10">
        <v>110</v>
      </c>
      <c r="U772" s="10">
        <v>110</v>
      </c>
      <c r="V772" s="10">
        <v>110</v>
      </c>
      <c r="W772" s="10">
        <v>110</v>
      </c>
      <c r="X772" s="10">
        <v>110</v>
      </c>
      <c r="Y772" s="10">
        <f t="shared" si="13"/>
        <v>1320</v>
      </c>
    </row>
    <row r="773" spans="1:25" s="9" customFormat="1" ht="11.25" customHeight="1">
      <c r="A773" s="261">
        <v>2014</v>
      </c>
      <c r="B773" s="261" t="s">
        <v>573</v>
      </c>
      <c r="C773" s="9" t="s">
        <v>32</v>
      </c>
      <c r="D773" s="9" t="s">
        <v>32</v>
      </c>
      <c r="E773" s="9" t="s">
        <v>12</v>
      </c>
      <c r="F773" s="9" t="s">
        <v>245</v>
      </c>
      <c r="G773" s="9" t="s">
        <v>245</v>
      </c>
      <c r="H773" s="9" t="s">
        <v>12</v>
      </c>
      <c r="I773" s="9" t="s">
        <v>12</v>
      </c>
      <c r="J773" s="9" t="s">
        <v>134</v>
      </c>
      <c r="K773" s="9" t="s">
        <v>305</v>
      </c>
      <c r="M773" s="10">
        <v>110</v>
      </c>
      <c r="N773" s="10">
        <v>110</v>
      </c>
      <c r="O773" s="10">
        <v>110</v>
      </c>
      <c r="P773" s="10">
        <v>110</v>
      </c>
      <c r="Q773" s="10">
        <v>110</v>
      </c>
      <c r="R773" s="10">
        <v>110</v>
      </c>
      <c r="S773" s="10">
        <v>110</v>
      </c>
      <c r="T773" s="10">
        <v>110</v>
      </c>
      <c r="U773" s="10">
        <v>110</v>
      </c>
      <c r="V773" s="10">
        <v>110</v>
      </c>
      <c r="W773" s="10">
        <v>110</v>
      </c>
      <c r="X773" s="10">
        <v>110</v>
      </c>
      <c r="Y773" s="10">
        <f t="shared" si="13"/>
        <v>1320</v>
      </c>
    </row>
    <row r="774" spans="1:25" s="9" customFormat="1" ht="11.25" customHeight="1">
      <c r="A774" s="261">
        <v>2014</v>
      </c>
      <c r="B774" s="261" t="s">
        <v>573</v>
      </c>
      <c r="C774" s="9" t="s">
        <v>32</v>
      </c>
      <c r="D774" s="9" t="s">
        <v>32</v>
      </c>
      <c r="E774" s="9" t="s">
        <v>12</v>
      </c>
      <c r="F774" s="9" t="s">
        <v>245</v>
      </c>
      <c r="G774" s="9" t="s">
        <v>245</v>
      </c>
      <c r="H774" s="9" t="s">
        <v>12</v>
      </c>
      <c r="I774" s="9" t="s">
        <v>12</v>
      </c>
      <c r="J774" s="9" t="s">
        <v>134</v>
      </c>
      <c r="K774" s="9" t="s">
        <v>298</v>
      </c>
      <c r="M774" s="10">
        <v>110</v>
      </c>
      <c r="N774" s="10">
        <v>110</v>
      </c>
      <c r="O774" s="10">
        <v>110</v>
      </c>
      <c r="P774" s="10">
        <v>110</v>
      </c>
      <c r="Q774" s="10">
        <v>110</v>
      </c>
      <c r="R774" s="10">
        <v>110</v>
      </c>
      <c r="S774" s="10">
        <v>110</v>
      </c>
      <c r="T774" s="10">
        <v>110</v>
      </c>
      <c r="U774" s="10">
        <v>110</v>
      </c>
      <c r="V774" s="10">
        <v>110</v>
      </c>
      <c r="W774" s="10">
        <v>110</v>
      </c>
      <c r="X774" s="10">
        <v>110</v>
      </c>
      <c r="Y774" s="10">
        <f t="shared" si="13"/>
        <v>1320</v>
      </c>
    </row>
    <row r="775" spans="1:25" s="9" customFormat="1" ht="11.25" customHeight="1">
      <c r="A775" s="261">
        <v>2014</v>
      </c>
      <c r="B775" s="261" t="s">
        <v>573</v>
      </c>
      <c r="C775" s="9" t="s">
        <v>32</v>
      </c>
      <c r="D775" s="9" t="s">
        <v>32</v>
      </c>
      <c r="E775" s="9" t="s">
        <v>12</v>
      </c>
      <c r="F775" s="9" t="s">
        <v>245</v>
      </c>
      <c r="G775" s="9" t="s">
        <v>245</v>
      </c>
      <c r="H775" s="9" t="s">
        <v>12</v>
      </c>
      <c r="I775" s="9" t="s">
        <v>12</v>
      </c>
      <c r="J775" s="9" t="s">
        <v>134</v>
      </c>
      <c r="K775" s="9" t="s">
        <v>300</v>
      </c>
      <c r="M775" s="10">
        <v>110</v>
      </c>
      <c r="N775" s="10">
        <v>110</v>
      </c>
      <c r="O775" s="10">
        <v>110</v>
      </c>
      <c r="P775" s="10">
        <v>110</v>
      </c>
      <c r="Q775" s="10">
        <v>110</v>
      </c>
      <c r="R775" s="10">
        <v>110</v>
      </c>
      <c r="S775" s="10">
        <v>110</v>
      </c>
      <c r="T775" s="10">
        <v>110</v>
      </c>
      <c r="U775" s="10">
        <v>110</v>
      </c>
      <c r="V775" s="10">
        <v>110</v>
      </c>
      <c r="W775" s="10">
        <v>110</v>
      </c>
      <c r="X775" s="10">
        <v>110</v>
      </c>
      <c r="Y775" s="10">
        <f t="shared" si="13"/>
        <v>1320</v>
      </c>
    </row>
    <row r="776" spans="1:25" s="9" customFormat="1" ht="11.25" customHeight="1">
      <c r="A776" s="261">
        <v>2014</v>
      </c>
      <c r="B776" s="261" t="s">
        <v>573</v>
      </c>
      <c r="C776" s="9" t="s">
        <v>32</v>
      </c>
      <c r="D776" s="9" t="s">
        <v>32</v>
      </c>
      <c r="E776" s="9" t="s">
        <v>12</v>
      </c>
      <c r="F776" s="9" t="s">
        <v>245</v>
      </c>
      <c r="G776" s="9" t="s">
        <v>245</v>
      </c>
      <c r="H776" s="9" t="s">
        <v>12</v>
      </c>
      <c r="I776" s="9" t="s">
        <v>12</v>
      </c>
      <c r="J776" s="9" t="s">
        <v>134</v>
      </c>
      <c r="K776" s="9" t="s">
        <v>309</v>
      </c>
      <c r="M776" s="10">
        <v>110</v>
      </c>
      <c r="N776" s="10">
        <v>110</v>
      </c>
      <c r="O776" s="10">
        <v>110</v>
      </c>
      <c r="P776" s="10">
        <v>110</v>
      </c>
      <c r="Q776" s="10">
        <v>110</v>
      </c>
      <c r="R776" s="10">
        <v>110</v>
      </c>
      <c r="S776" s="10">
        <v>110</v>
      </c>
      <c r="T776" s="10">
        <v>110</v>
      </c>
      <c r="U776" s="10">
        <v>110</v>
      </c>
      <c r="V776" s="10">
        <v>110</v>
      </c>
      <c r="W776" s="10">
        <v>110</v>
      </c>
      <c r="X776" s="10">
        <v>110</v>
      </c>
      <c r="Y776" s="10">
        <f t="shared" si="13"/>
        <v>1320</v>
      </c>
    </row>
    <row r="777" spans="1:25" s="9" customFormat="1" ht="11.25" customHeight="1">
      <c r="A777" s="261">
        <v>2014</v>
      </c>
      <c r="B777" s="261" t="s">
        <v>573</v>
      </c>
      <c r="C777" s="9" t="s">
        <v>32</v>
      </c>
      <c r="D777" s="9" t="s">
        <v>32</v>
      </c>
      <c r="E777" s="9" t="s">
        <v>12</v>
      </c>
      <c r="F777" s="9" t="s">
        <v>245</v>
      </c>
      <c r="G777" s="9" t="s">
        <v>245</v>
      </c>
      <c r="H777" s="9" t="s">
        <v>12</v>
      </c>
      <c r="I777" s="9" t="s">
        <v>12</v>
      </c>
      <c r="J777" s="9" t="s">
        <v>134</v>
      </c>
      <c r="K777" s="9" t="s">
        <v>307</v>
      </c>
      <c r="M777" s="10">
        <v>110</v>
      </c>
      <c r="N777" s="10">
        <v>110</v>
      </c>
      <c r="O777" s="10">
        <v>110</v>
      </c>
      <c r="P777" s="10">
        <v>110</v>
      </c>
      <c r="Q777" s="10">
        <v>110</v>
      </c>
      <c r="R777" s="10">
        <v>110</v>
      </c>
      <c r="S777" s="10">
        <v>110</v>
      </c>
      <c r="T777" s="10">
        <v>110</v>
      </c>
      <c r="U777" s="10">
        <v>110</v>
      </c>
      <c r="V777" s="10">
        <v>110</v>
      </c>
      <c r="W777" s="10">
        <v>110</v>
      </c>
      <c r="X777" s="10">
        <v>110</v>
      </c>
      <c r="Y777" s="10">
        <f t="shared" si="13"/>
        <v>1320</v>
      </c>
    </row>
    <row r="778" spans="1:25" s="9" customFormat="1" ht="11.25" customHeight="1">
      <c r="A778" s="261">
        <v>2014</v>
      </c>
      <c r="B778" s="261" t="s">
        <v>573</v>
      </c>
      <c r="C778" s="9" t="s">
        <v>32</v>
      </c>
      <c r="D778" s="9" t="s">
        <v>32</v>
      </c>
      <c r="E778" s="9" t="s">
        <v>12</v>
      </c>
      <c r="F778" s="9" t="s">
        <v>245</v>
      </c>
      <c r="G778" s="9" t="s">
        <v>245</v>
      </c>
      <c r="H778" s="9" t="s">
        <v>12</v>
      </c>
      <c r="I778" s="9" t="s">
        <v>12</v>
      </c>
      <c r="J778" s="9" t="s">
        <v>134</v>
      </c>
      <c r="K778" s="9" t="s">
        <v>311</v>
      </c>
      <c r="M778" s="10">
        <v>110</v>
      </c>
      <c r="N778" s="10">
        <v>110</v>
      </c>
      <c r="O778" s="10">
        <v>110</v>
      </c>
      <c r="P778" s="10">
        <v>110</v>
      </c>
      <c r="Q778" s="10">
        <v>110</v>
      </c>
      <c r="R778" s="10">
        <v>110</v>
      </c>
      <c r="S778" s="10">
        <v>110</v>
      </c>
      <c r="T778" s="10">
        <v>110</v>
      </c>
      <c r="U778" s="10">
        <v>110</v>
      </c>
      <c r="V778" s="10">
        <v>110</v>
      </c>
      <c r="W778" s="10">
        <v>110</v>
      </c>
      <c r="X778" s="10">
        <v>110</v>
      </c>
      <c r="Y778" s="10">
        <f t="shared" si="13"/>
        <v>1320</v>
      </c>
    </row>
    <row r="779" spans="1:25" s="9" customFormat="1" ht="11.25" customHeight="1">
      <c r="A779" s="261">
        <v>2014</v>
      </c>
      <c r="B779" s="261" t="s">
        <v>573</v>
      </c>
      <c r="C779" s="9" t="s">
        <v>32</v>
      </c>
      <c r="D779" s="9" t="s">
        <v>32</v>
      </c>
      <c r="E779" s="9" t="s">
        <v>12</v>
      </c>
      <c r="F779" s="9" t="s">
        <v>245</v>
      </c>
      <c r="G779" s="9" t="s">
        <v>245</v>
      </c>
      <c r="H779" s="9" t="s">
        <v>12</v>
      </c>
      <c r="I779" s="9" t="s">
        <v>12</v>
      </c>
      <c r="J779" s="9" t="s">
        <v>134</v>
      </c>
      <c r="K779" s="9" t="s">
        <v>303</v>
      </c>
      <c r="M779" s="10">
        <v>110</v>
      </c>
      <c r="N779" s="10">
        <v>110</v>
      </c>
      <c r="O779" s="10">
        <v>110</v>
      </c>
      <c r="P779" s="10">
        <v>110</v>
      </c>
      <c r="Q779" s="10">
        <v>110</v>
      </c>
      <c r="R779" s="10">
        <v>110</v>
      </c>
      <c r="S779" s="10">
        <v>110</v>
      </c>
      <c r="T779" s="10">
        <v>110</v>
      </c>
      <c r="U779" s="10">
        <v>110</v>
      </c>
      <c r="V779" s="10">
        <v>110</v>
      </c>
      <c r="W779" s="10">
        <v>110</v>
      </c>
      <c r="X779" s="10">
        <v>110</v>
      </c>
      <c r="Y779" s="10">
        <f t="shared" si="13"/>
        <v>1320</v>
      </c>
    </row>
    <row r="780" spans="1:25" s="9" customFormat="1" ht="11.25" customHeight="1">
      <c r="A780" s="261">
        <v>2014</v>
      </c>
      <c r="B780" s="261" t="s">
        <v>573</v>
      </c>
      <c r="C780" s="9" t="s">
        <v>32</v>
      </c>
      <c r="D780" s="9" t="s">
        <v>32</v>
      </c>
      <c r="E780" s="9" t="s">
        <v>12</v>
      </c>
      <c r="F780" s="9" t="s">
        <v>245</v>
      </c>
      <c r="G780" s="9" t="s">
        <v>245</v>
      </c>
      <c r="H780" s="9" t="s">
        <v>12</v>
      </c>
      <c r="I780" s="9" t="s">
        <v>12</v>
      </c>
      <c r="J780" s="9" t="s">
        <v>134</v>
      </c>
      <c r="K780" s="9" t="s">
        <v>306</v>
      </c>
      <c r="M780" s="10">
        <v>110</v>
      </c>
      <c r="N780" s="10">
        <v>110</v>
      </c>
      <c r="O780" s="10">
        <v>110</v>
      </c>
      <c r="P780" s="10">
        <v>110</v>
      </c>
      <c r="Q780" s="10">
        <v>110</v>
      </c>
      <c r="R780" s="10">
        <v>110</v>
      </c>
      <c r="S780" s="10">
        <v>110</v>
      </c>
      <c r="T780" s="10">
        <v>110</v>
      </c>
      <c r="U780" s="10">
        <v>110</v>
      </c>
      <c r="V780" s="10">
        <v>110</v>
      </c>
      <c r="W780" s="10">
        <v>110</v>
      </c>
      <c r="X780" s="10">
        <v>110</v>
      </c>
      <c r="Y780" s="10">
        <f t="shared" si="13"/>
        <v>1320</v>
      </c>
    </row>
    <row r="781" spans="1:25" s="9" customFormat="1" ht="11.25" customHeight="1">
      <c r="A781" s="261">
        <v>2014</v>
      </c>
      <c r="B781" s="261" t="s">
        <v>573</v>
      </c>
      <c r="C781" s="9" t="s">
        <v>32</v>
      </c>
      <c r="D781" s="9" t="s">
        <v>32</v>
      </c>
      <c r="E781" s="9" t="s">
        <v>12</v>
      </c>
      <c r="F781" s="9" t="s">
        <v>245</v>
      </c>
      <c r="G781" s="9" t="s">
        <v>245</v>
      </c>
      <c r="H781" s="9" t="s">
        <v>12</v>
      </c>
      <c r="I781" s="9" t="s">
        <v>12</v>
      </c>
      <c r="J781" s="9" t="s">
        <v>134</v>
      </c>
      <c r="K781" s="9" t="s">
        <v>299</v>
      </c>
      <c r="M781" s="10">
        <v>500</v>
      </c>
      <c r="N781" s="10">
        <v>200</v>
      </c>
      <c r="O781" s="10">
        <v>200</v>
      </c>
      <c r="P781" s="10">
        <v>200</v>
      </c>
      <c r="Q781" s="10">
        <v>200</v>
      </c>
      <c r="R781" s="10">
        <v>200</v>
      </c>
      <c r="S781" s="10">
        <v>200</v>
      </c>
      <c r="T781" s="10">
        <v>200</v>
      </c>
      <c r="U781" s="10">
        <v>200</v>
      </c>
      <c r="V781" s="10">
        <v>200</v>
      </c>
      <c r="W781" s="10">
        <v>200</v>
      </c>
      <c r="X781" s="10">
        <v>200</v>
      </c>
      <c r="Y781" s="10">
        <f t="shared" si="13"/>
        <v>2700</v>
      </c>
    </row>
    <row r="782" spans="1:25" s="9" customFormat="1" ht="11.25" customHeight="1">
      <c r="A782" s="261">
        <v>2014</v>
      </c>
      <c r="B782" s="261" t="s">
        <v>573</v>
      </c>
      <c r="C782" s="9" t="s">
        <v>32</v>
      </c>
      <c r="D782" s="9" t="s">
        <v>32</v>
      </c>
      <c r="E782" s="9" t="s">
        <v>12</v>
      </c>
      <c r="F782" s="9" t="s">
        <v>245</v>
      </c>
      <c r="G782" s="9" t="s">
        <v>245</v>
      </c>
      <c r="H782" s="9" t="s">
        <v>12</v>
      </c>
      <c r="I782" s="9" t="s">
        <v>12</v>
      </c>
      <c r="J782" s="9" t="s">
        <v>134</v>
      </c>
      <c r="K782" s="9" t="s">
        <v>308</v>
      </c>
      <c r="M782" s="10">
        <v>110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0</v>
      </c>
      <c r="X782" s="10">
        <v>0</v>
      </c>
      <c r="Y782" s="10">
        <f t="shared" si="13"/>
        <v>110</v>
      </c>
    </row>
    <row r="783" spans="1:25" s="9" customFormat="1" ht="11.25" customHeight="1">
      <c r="A783" s="261">
        <v>2014</v>
      </c>
      <c r="B783" s="261" t="s">
        <v>573</v>
      </c>
      <c r="C783" s="9" t="s">
        <v>32</v>
      </c>
      <c r="D783" s="9" t="s">
        <v>32</v>
      </c>
      <c r="E783" s="9" t="s">
        <v>12</v>
      </c>
      <c r="F783" s="9" t="s">
        <v>245</v>
      </c>
      <c r="G783" s="9" t="s">
        <v>245</v>
      </c>
      <c r="H783" s="9" t="s">
        <v>12</v>
      </c>
      <c r="I783" s="9" t="s">
        <v>12</v>
      </c>
      <c r="J783" s="9" t="s">
        <v>134</v>
      </c>
      <c r="K783" s="9" t="s">
        <v>302</v>
      </c>
      <c r="M783" s="10">
        <v>110</v>
      </c>
      <c r="N783" s="10">
        <v>110</v>
      </c>
      <c r="O783" s="10">
        <v>110</v>
      </c>
      <c r="P783" s="10">
        <v>110</v>
      </c>
      <c r="Q783" s="10">
        <v>110</v>
      </c>
      <c r="R783" s="10">
        <v>110</v>
      </c>
      <c r="S783" s="10">
        <v>110</v>
      </c>
      <c r="T783" s="10">
        <v>110</v>
      </c>
      <c r="U783" s="10">
        <v>110</v>
      </c>
      <c r="V783" s="10">
        <v>110</v>
      </c>
      <c r="W783" s="10">
        <v>110</v>
      </c>
      <c r="X783" s="10">
        <v>110</v>
      </c>
      <c r="Y783" s="10">
        <f t="shared" si="13"/>
        <v>1320</v>
      </c>
    </row>
    <row r="784" spans="1:25" s="9" customFormat="1" ht="11.25" customHeight="1">
      <c r="A784" s="261">
        <v>2014</v>
      </c>
      <c r="B784" s="261" t="s">
        <v>573</v>
      </c>
      <c r="C784" s="9" t="s">
        <v>32</v>
      </c>
      <c r="D784" s="9" t="s">
        <v>32</v>
      </c>
      <c r="E784" s="9" t="s">
        <v>12</v>
      </c>
      <c r="F784" s="9" t="s">
        <v>245</v>
      </c>
      <c r="G784" s="9" t="s">
        <v>245</v>
      </c>
      <c r="H784" s="9" t="s">
        <v>12</v>
      </c>
      <c r="I784" s="9" t="s">
        <v>12</v>
      </c>
      <c r="J784" s="9" t="s">
        <v>134</v>
      </c>
      <c r="K784" s="9" t="s">
        <v>310</v>
      </c>
      <c r="M784" s="10">
        <v>110</v>
      </c>
      <c r="N784" s="10">
        <v>110</v>
      </c>
      <c r="O784" s="10">
        <v>110</v>
      </c>
      <c r="P784" s="10">
        <v>110</v>
      </c>
      <c r="Q784" s="10">
        <v>110</v>
      </c>
      <c r="R784" s="10">
        <v>110</v>
      </c>
      <c r="S784" s="10">
        <v>110</v>
      </c>
      <c r="T784" s="10">
        <v>110</v>
      </c>
      <c r="U784" s="10">
        <v>110</v>
      </c>
      <c r="V784" s="10">
        <v>110</v>
      </c>
      <c r="W784" s="10">
        <v>110</v>
      </c>
      <c r="X784" s="10">
        <v>110</v>
      </c>
      <c r="Y784" s="10">
        <f t="shared" si="13"/>
        <v>1320</v>
      </c>
    </row>
    <row r="785" spans="1:25" s="9" customFormat="1" ht="11.25" customHeight="1">
      <c r="A785" s="261">
        <v>2014</v>
      </c>
      <c r="B785" s="261" t="s">
        <v>573</v>
      </c>
      <c r="C785" s="9" t="s">
        <v>32</v>
      </c>
      <c r="D785" s="9" t="s">
        <v>32</v>
      </c>
      <c r="E785" s="9" t="s">
        <v>12</v>
      </c>
      <c r="F785" s="9" t="s">
        <v>245</v>
      </c>
      <c r="G785" s="9" t="s">
        <v>245</v>
      </c>
      <c r="H785" s="9" t="s">
        <v>12</v>
      </c>
      <c r="I785" s="9" t="s">
        <v>12</v>
      </c>
      <c r="J785" s="9" t="s">
        <v>134</v>
      </c>
      <c r="M785" s="10"/>
      <c r="N785" s="10"/>
      <c r="O785" s="422">
        <v>330.03</v>
      </c>
      <c r="P785" s="422">
        <v>330.03</v>
      </c>
      <c r="Q785" s="422">
        <v>330.03</v>
      </c>
      <c r="R785" s="422">
        <v>330.03</v>
      </c>
      <c r="S785" s="422">
        <v>330.03</v>
      </c>
      <c r="T785" s="422">
        <v>330.03</v>
      </c>
      <c r="U785" s="422">
        <v>330.03</v>
      </c>
      <c r="V785" s="422">
        <v>330.03</v>
      </c>
      <c r="W785" s="422">
        <v>330.03</v>
      </c>
      <c r="X785" s="422">
        <v>330.03</v>
      </c>
      <c r="Y785" s="422">
        <f t="shared" si="13"/>
        <v>3300.2999999999993</v>
      </c>
    </row>
    <row r="786" spans="1:25" s="9" customFormat="1" ht="11.25" customHeight="1">
      <c r="A786" s="261">
        <v>2014</v>
      </c>
      <c r="B786" s="261" t="s">
        <v>573</v>
      </c>
      <c r="C786" s="9" t="s">
        <v>32</v>
      </c>
      <c r="D786" s="9" t="s">
        <v>32</v>
      </c>
      <c r="E786" s="9" t="s">
        <v>12</v>
      </c>
      <c r="F786" s="9" t="s">
        <v>245</v>
      </c>
      <c r="G786" s="9" t="s">
        <v>245</v>
      </c>
      <c r="H786" s="9" t="s">
        <v>12</v>
      </c>
      <c r="I786" s="9" t="s">
        <v>12</v>
      </c>
      <c r="J786" s="9" t="s">
        <v>13</v>
      </c>
      <c r="K786" s="9" t="s">
        <v>304</v>
      </c>
      <c r="M786" s="10">
        <v>430</v>
      </c>
      <c r="N786" s="10">
        <v>430</v>
      </c>
      <c r="O786" s="10">
        <v>430</v>
      </c>
      <c r="P786" s="10">
        <v>430</v>
      </c>
      <c r="Q786" s="10">
        <v>430</v>
      </c>
      <c r="R786" s="10">
        <v>430</v>
      </c>
      <c r="S786" s="10">
        <v>430</v>
      </c>
      <c r="T786" s="10">
        <v>430</v>
      </c>
      <c r="U786" s="10">
        <v>430</v>
      </c>
      <c r="V786" s="10">
        <v>430</v>
      </c>
      <c r="W786" s="10">
        <v>430</v>
      </c>
      <c r="X786" s="10">
        <v>430</v>
      </c>
      <c r="Y786" s="10">
        <f t="shared" si="13"/>
        <v>5160</v>
      </c>
    </row>
    <row r="787" spans="1:25" s="9" customFormat="1" ht="11.25" customHeight="1">
      <c r="A787" s="261">
        <v>2014</v>
      </c>
      <c r="B787" s="261" t="s">
        <v>573</v>
      </c>
      <c r="C787" s="9" t="s">
        <v>32</v>
      </c>
      <c r="D787" s="9" t="s">
        <v>32</v>
      </c>
      <c r="E787" s="9" t="s">
        <v>12</v>
      </c>
      <c r="F787" s="9" t="s">
        <v>245</v>
      </c>
      <c r="G787" s="9" t="s">
        <v>245</v>
      </c>
      <c r="H787" s="9" t="s">
        <v>12</v>
      </c>
      <c r="I787" s="9" t="s">
        <v>12</v>
      </c>
      <c r="J787" s="9" t="s">
        <v>13</v>
      </c>
      <c r="K787" s="9" t="s">
        <v>301</v>
      </c>
      <c r="M787" s="10">
        <v>430</v>
      </c>
      <c r="N787" s="10">
        <v>430</v>
      </c>
      <c r="O787" s="10">
        <v>430</v>
      </c>
      <c r="P787" s="10">
        <v>430</v>
      </c>
      <c r="Q787" s="10">
        <v>430</v>
      </c>
      <c r="R787" s="10">
        <v>430</v>
      </c>
      <c r="S787" s="10">
        <v>430</v>
      </c>
      <c r="T787" s="10">
        <v>430</v>
      </c>
      <c r="U787" s="10">
        <v>430</v>
      </c>
      <c r="V787" s="10">
        <v>430</v>
      </c>
      <c r="W787" s="10">
        <v>430</v>
      </c>
      <c r="X787" s="10">
        <v>430</v>
      </c>
      <c r="Y787" s="10">
        <f t="shared" si="13"/>
        <v>5160</v>
      </c>
    </row>
    <row r="788" spans="1:25" s="9" customFormat="1" ht="11.25" customHeight="1">
      <c r="A788" s="261">
        <v>2014</v>
      </c>
      <c r="B788" s="261" t="s">
        <v>573</v>
      </c>
      <c r="C788" s="9" t="s">
        <v>32</v>
      </c>
      <c r="D788" s="9" t="s">
        <v>32</v>
      </c>
      <c r="E788" s="9" t="s">
        <v>12</v>
      </c>
      <c r="F788" s="9" t="s">
        <v>245</v>
      </c>
      <c r="G788" s="9" t="s">
        <v>245</v>
      </c>
      <c r="H788" s="9" t="s">
        <v>12</v>
      </c>
      <c r="I788" s="9" t="s">
        <v>12</v>
      </c>
      <c r="J788" s="9" t="s">
        <v>13</v>
      </c>
      <c r="K788" s="9" t="s">
        <v>305</v>
      </c>
      <c r="M788" s="10">
        <v>165</v>
      </c>
      <c r="N788" s="10">
        <v>165</v>
      </c>
      <c r="O788" s="10">
        <v>165</v>
      </c>
      <c r="P788" s="10">
        <v>165</v>
      </c>
      <c r="Q788" s="10">
        <v>165</v>
      </c>
      <c r="R788" s="10">
        <v>165</v>
      </c>
      <c r="S788" s="10">
        <v>165</v>
      </c>
      <c r="T788" s="10">
        <v>165</v>
      </c>
      <c r="U788" s="10">
        <v>165</v>
      </c>
      <c r="V788" s="10">
        <v>165</v>
      </c>
      <c r="W788" s="10">
        <v>165</v>
      </c>
      <c r="X788" s="10">
        <v>165</v>
      </c>
      <c r="Y788" s="10">
        <f t="shared" si="13"/>
        <v>1980</v>
      </c>
    </row>
    <row r="789" spans="1:25" s="9" customFormat="1" ht="11.25" customHeight="1">
      <c r="A789" s="261">
        <v>2014</v>
      </c>
      <c r="B789" s="261" t="s">
        <v>573</v>
      </c>
      <c r="C789" s="9" t="s">
        <v>32</v>
      </c>
      <c r="D789" s="9" t="s">
        <v>32</v>
      </c>
      <c r="E789" s="9" t="s">
        <v>12</v>
      </c>
      <c r="F789" s="9" t="s">
        <v>245</v>
      </c>
      <c r="G789" s="9" t="s">
        <v>245</v>
      </c>
      <c r="H789" s="9" t="s">
        <v>12</v>
      </c>
      <c r="I789" s="9" t="s">
        <v>12</v>
      </c>
      <c r="J789" s="9" t="s">
        <v>13</v>
      </c>
      <c r="K789" s="9" t="s">
        <v>298</v>
      </c>
      <c r="M789" s="10">
        <v>430</v>
      </c>
      <c r="N789" s="10">
        <v>430</v>
      </c>
      <c r="O789" s="10">
        <v>430</v>
      </c>
      <c r="P789" s="10">
        <v>430</v>
      </c>
      <c r="Q789" s="10">
        <v>430</v>
      </c>
      <c r="R789" s="10">
        <v>430</v>
      </c>
      <c r="S789" s="10">
        <v>430</v>
      </c>
      <c r="T789" s="10">
        <v>430</v>
      </c>
      <c r="U789" s="10">
        <v>430</v>
      </c>
      <c r="V789" s="10">
        <v>430</v>
      </c>
      <c r="W789" s="10">
        <v>430</v>
      </c>
      <c r="X789" s="10">
        <v>430</v>
      </c>
      <c r="Y789" s="10">
        <f t="shared" si="13"/>
        <v>5160</v>
      </c>
    </row>
    <row r="790" spans="1:25" s="9" customFormat="1" ht="11.25" customHeight="1">
      <c r="A790" s="261">
        <v>2014</v>
      </c>
      <c r="B790" s="261" t="s">
        <v>573</v>
      </c>
      <c r="C790" s="9" t="s">
        <v>32</v>
      </c>
      <c r="D790" s="9" t="s">
        <v>32</v>
      </c>
      <c r="E790" s="9" t="s">
        <v>12</v>
      </c>
      <c r="F790" s="9" t="s">
        <v>245</v>
      </c>
      <c r="G790" s="9" t="s">
        <v>245</v>
      </c>
      <c r="H790" s="9" t="s">
        <v>12</v>
      </c>
      <c r="I790" s="9" t="s">
        <v>12</v>
      </c>
      <c r="J790" s="9" t="s">
        <v>13</v>
      </c>
      <c r="K790" s="9" t="s">
        <v>300</v>
      </c>
      <c r="M790" s="10">
        <v>430</v>
      </c>
      <c r="N790" s="10">
        <v>430</v>
      </c>
      <c r="O790" s="10">
        <v>430</v>
      </c>
      <c r="P790" s="10">
        <v>430</v>
      </c>
      <c r="Q790" s="10">
        <v>430</v>
      </c>
      <c r="R790" s="10">
        <v>430</v>
      </c>
      <c r="S790" s="10">
        <v>430</v>
      </c>
      <c r="T790" s="10">
        <v>430</v>
      </c>
      <c r="U790" s="10">
        <v>430</v>
      </c>
      <c r="V790" s="10">
        <v>430</v>
      </c>
      <c r="W790" s="10">
        <v>430</v>
      </c>
      <c r="X790" s="10">
        <v>430</v>
      </c>
      <c r="Y790" s="10">
        <f t="shared" si="13"/>
        <v>5160</v>
      </c>
    </row>
    <row r="791" spans="1:25" s="9" customFormat="1" ht="11.25" customHeight="1">
      <c r="A791" s="261">
        <v>2014</v>
      </c>
      <c r="B791" s="261" t="s">
        <v>573</v>
      </c>
      <c r="C791" s="9" t="s">
        <v>32</v>
      </c>
      <c r="D791" s="9" t="s">
        <v>32</v>
      </c>
      <c r="E791" s="9" t="s">
        <v>12</v>
      </c>
      <c r="F791" s="9" t="s">
        <v>245</v>
      </c>
      <c r="G791" s="9" t="s">
        <v>245</v>
      </c>
      <c r="H791" s="9" t="s">
        <v>12</v>
      </c>
      <c r="I791" s="9" t="s">
        <v>12</v>
      </c>
      <c r="J791" s="9" t="s">
        <v>13</v>
      </c>
      <c r="K791" s="9" t="s">
        <v>309</v>
      </c>
      <c r="M791" s="10">
        <v>430</v>
      </c>
      <c r="N791" s="10">
        <v>430</v>
      </c>
      <c r="O791" s="10">
        <v>430</v>
      </c>
      <c r="P791" s="10">
        <v>430</v>
      </c>
      <c r="Q791" s="10">
        <v>430</v>
      </c>
      <c r="R791" s="10">
        <v>430</v>
      </c>
      <c r="S791" s="10">
        <v>430</v>
      </c>
      <c r="T791" s="10">
        <v>430</v>
      </c>
      <c r="U791" s="10">
        <v>430</v>
      </c>
      <c r="V791" s="10">
        <v>430</v>
      </c>
      <c r="W791" s="10">
        <v>430</v>
      </c>
      <c r="X791" s="10">
        <v>430</v>
      </c>
      <c r="Y791" s="10">
        <f t="shared" si="13"/>
        <v>5160</v>
      </c>
    </row>
    <row r="792" spans="1:25" s="9" customFormat="1" ht="11.25" customHeight="1">
      <c r="A792" s="261">
        <v>2014</v>
      </c>
      <c r="B792" s="261" t="s">
        <v>573</v>
      </c>
      <c r="C792" s="9" t="s">
        <v>32</v>
      </c>
      <c r="D792" s="9" t="s">
        <v>32</v>
      </c>
      <c r="E792" s="9" t="s">
        <v>12</v>
      </c>
      <c r="F792" s="9" t="s">
        <v>245</v>
      </c>
      <c r="G792" s="9" t="s">
        <v>245</v>
      </c>
      <c r="H792" s="9" t="s">
        <v>12</v>
      </c>
      <c r="I792" s="9" t="s">
        <v>12</v>
      </c>
      <c r="J792" s="9" t="s">
        <v>13</v>
      </c>
      <c r="K792" s="9" t="s">
        <v>307</v>
      </c>
      <c r="M792" s="10">
        <v>165</v>
      </c>
      <c r="N792" s="10">
        <v>165</v>
      </c>
      <c r="O792" s="10">
        <v>165</v>
      </c>
      <c r="P792" s="10">
        <v>165</v>
      </c>
      <c r="Q792" s="10">
        <v>165</v>
      </c>
      <c r="R792" s="10">
        <v>165</v>
      </c>
      <c r="S792" s="10">
        <v>165</v>
      </c>
      <c r="T792" s="10">
        <v>165</v>
      </c>
      <c r="U792" s="10">
        <v>165</v>
      </c>
      <c r="V792" s="10">
        <v>165</v>
      </c>
      <c r="W792" s="10">
        <v>165</v>
      </c>
      <c r="X792" s="10">
        <v>165</v>
      </c>
      <c r="Y792" s="10">
        <f t="shared" si="13"/>
        <v>1980</v>
      </c>
    </row>
    <row r="793" spans="1:25" s="9" customFormat="1" ht="11.25" customHeight="1">
      <c r="A793" s="261">
        <v>2014</v>
      </c>
      <c r="B793" s="261" t="s">
        <v>573</v>
      </c>
      <c r="C793" s="9" t="s">
        <v>32</v>
      </c>
      <c r="D793" s="9" t="s">
        <v>32</v>
      </c>
      <c r="E793" s="9" t="s">
        <v>12</v>
      </c>
      <c r="F793" s="9" t="s">
        <v>245</v>
      </c>
      <c r="G793" s="9" t="s">
        <v>245</v>
      </c>
      <c r="H793" s="9" t="s">
        <v>12</v>
      </c>
      <c r="I793" s="9" t="s">
        <v>12</v>
      </c>
      <c r="J793" s="9" t="s">
        <v>13</v>
      </c>
      <c r="K793" s="9" t="s">
        <v>311</v>
      </c>
      <c r="M793" s="10">
        <v>430</v>
      </c>
      <c r="N793" s="10">
        <v>430</v>
      </c>
      <c r="O793" s="10">
        <v>430</v>
      </c>
      <c r="P793" s="10">
        <v>430</v>
      </c>
      <c r="Q793" s="10">
        <v>430</v>
      </c>
      <c r="R793" s="10">
        <v>430</v>
      </c>
      <c r="S793" s="10">
        <v>430</v>
      </c>
      <c r="T793" s="10">
        <v>430</v>
      </c>
      <c r="U793" s="10">
        <v>430</v>
      </c>
      <c r="V793" s="10">
        <v>430</v>
      </c>
      <c r="W793" s="10">
        <v>430</v>
      </c>
      <c r="X793" s="10">
        <v>430</v>
      </c>
      <c r="Y793" s="10">
        <f t="shared" si="13"/>
        <v>5160</v>
      </c>
    </row>
    <row r="794" spans="1:25" s="9" customFormat="1" ht="11.25" customHeight="1">
      <c r="A794" s="261">
        <v>2014</v>
      </c>
      <c r="B794" s="261" t="s">
        <v>573</v>
      </c>
      <c r="C794" s="9" t="s">
        <v>32</v>
      </c>
      <c r="D794" s="9" t="s">
        <v>32</v>
      </c>
      <c r="E794" s="9" t="s">
        <v>12</v>
      </c>
      <c r="F794" s="9" t="s">
        <v>245</v>
      </c>
      <c r="G794" s="9" t="s">
        <v>245</v>
      </c>
      <c r="H794" s="9" t="s">
        <v>12</v>
      </c>
      <c r="I794" s="9" t="s">
        <v>12</v>
      </c>
      <c r="J794" s="9" t="s">
        <v>13</v>
      </c>
      <c r="K794" s="9" t="s">
        <v>303</v>
      </c>
      <c r="M794" s="10">
        <v>165</v>
      </c>
      <c r="N794" s="10">
        <v>165</v>
      </c>
      <c r="O794" s="10">
        <v>165</v>
      </c>
      <c r="P794" s="10">
        <v>165</v>
      </c>
      <c r="Q794" s="10">
        <v>165</v>
      </c>
      <c r="R794" s="10">
        <v>165</v>
      </c>
      <c r="S794" s="10">
        <v>165</v>
      </c>
      <c r="T794" s="10">
        <v>165</v>
      </c>
      <c r="U794" s="10">
        <v>165</v>
      </c>
      <c r="V794" s="10">
        <v>165</v>
      </c>
      <c r="W794" s="10">
        <v>165</v>
      </c>
      <c r="X794" s="10">
        <v>165</v>
      </c>
      <c r="Y794" s="10">
        <f t="shared" si="13"/>
        <v>1980</v>
      </c>
    </row>
    <row r="795" spans="1:25" s="9" customFormat="1" ht="11.25" customHeight="1">
      <c r="A795" s="261">
        <v>2014</v>
      </c>
      <c r="B795" s="261" t="s">
        <v>573</v>
      </c>
      <c r="C795" s="9" t="s">
        <v>32</v>
      </c>
      <c r="D795" s="9" t="s">
        <v>32</v>
      </c>
      <c r="E795" s="9" t="s">
        <v>12</v>
      </c>
      <c r="F795" s="9" t="s">
        <v>245</v>
      </c>
      <c r="G795" s="9" t="s">
        <v>245</v>
      </c>
      <c r="H795" s="9" t="s">
        <v>12</v>
      </c>
      <c r="I795" s="9" t="s">
        <v>12</v>
      </c>
      <c r="J795" s="9" t="s">
        <v>13</v>
      </c>
      <c r="K795" s="9" t="s">
        <v>306</v>
      </c>
      <c r="M795" s="10">
        <v>430</v>
      </c>
      <c r="N795" s="10">
        <v>430</v>
      </c>
      <c r="O795" s="10">
        <v>430</v>
      </c>
      <c r="P795" s="10">
        <v>430</v>
      </c>
      <c r="Q795" s="10">
        <v>430</v>
      </c>
      <c r="R795" s="10">
        <v>430</v>
      </c>
      <c r="S795" s="10">
        <v>430</v>
      </c>
      <c r="T795" s="10">
        <v>430</v>
      </c>
      <c r="U795" s="10">
        <v>430</v>
      </c>
      <c r="V795" s="10">
        <v>430</v>
      </c>
      <c r="W795" s="10">
        <v>430</v>
      </c>
      <c r="X795" s="10">
        <v>430</v>
      </c>
      <c r="Y795" s="10">
        <f t="shared" si="13"/>
        <v>5160</v>
      </c>
    </row>
    <row r="796" spans="1:25" s="9" customFormat="1" ht="11.25" customHeight="1">
      <c r="A796" s="261">
        <v>2014</v>
      </c>
      <c r="B796" s="261" t="s">
        <v>573</v>
      </c>
      <c r="C796" s="9" t="s">
        <v>32</v>
      </c>
      <c r="D796" s="9" t="s">
        <v>32</v>
      </c>
      <c r="E796" s="9" t="s">
        <v>12</v>
      </c>
      <c r="F796" s="9" t="s">
        <v>245</v>
      </c>
      <c r="G796" s="9" t="s">
        <v>245</v>
      </c>
      <c r="H796" s="9" t="s">
        <v>12</v>
      </c>
      <c r="I796" s="9" t="s">
        <v>12</v>
      </c>
      <c r="J796" s="9" t="s">
        <v>13</v>
      </c>
      <c r="K796" s="9" t="s">
        <v>299</v>
      </c>
      <c r="M796" s="10">
        <v>430</v>
      </c>
      <c r="N796" s="10">
        <v>430</v>
      </c>
      <c r="O796" s="10">
        <v>430</v>
      </c>
      <c r="P796" s="10">
        <v>430</v>
      </c>
      <c r="Q796" s="10">
        <v>430</v>
      </c>
      <c r="R796" s="10">
        <v>430</v>
      </c>
      <c r="S796" s="10">
        <v>430</v>
      </c>
      <c r="T796" s="10">
        <v>430</v>
      </c>
      <c r="U796" s="10">
        <v>430</v>
      </c>
      <c r="V796" s="10">
        <v>430</v>
      </c>
      <c r="W796" s="10">
        <v>430</v>
      </c>
      <c r="X796" s="10">
        <v>430</v>
      </c>
      <c r="Y796" s="10">
        <f t="shared" si="13"/>
        <v>5160</v>
      </c>
    </row>
    <row r="797" spans="1:25" s="9" customFormat="1" ht="11.25" customHeight="1">
      <c r="A797" s="261">
        <v>2014</v>
      </c>
      <c r="B797" s="261" t="s">
        <v>573</v>
      </c>
      <c r="C797" s="9" t="s">
        <v>32</v>
      </c>
      <c r="D797" s="9" t="s">
        <v>32</v>
      </c>
      <c r="E797" s="9" t="s">
        <v>12</v>
      </c>
      <c r="F797" s="9" t="s">
        <v>245</v>
      </c>
      <c r="G797" s="9" t="s">
        <v>245</v>
      </c>
      <c r="H797" s="9" t="s">
        <v>12</v>
      </c>
      <c r="I797" s="9" t="s">
        <v>12</v>
      </c>
      <c r="J797" s="9" t="s">
        <v>13</v>
      </c>
      <c r="K797" s="9" t="s">
        <v>308</v>
      </c>
      <c r="M797" s="10">
        <v>165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0</v>
      </c>
      <c r="X797" s="10">
        <v>0</v>
      </c>
      <c r="Y797" s="10">
        <f t="shared" si="13"/>
        <v>165</v>
      </c>
    </row>
    <row r="798" spans="1:25" s="9" customFormat="1" ht="11.25" customHeight="1">
      <c r="A798" s="261">
        <v>2014</v>
      </c>
      <c r="B798" s="261" t="s">
        <v>573</v>
      </c>
      <c r="C798" s="9" t="s">
        <v>32</v>
      </c>
      <c r="D798" s="9" t="s">
        <v>32</v>
      </c>
      <c r="E798" s="9" t="s">
        <v>12</v>
      </c>
      <c r="F798" s="9" t="s">
        <v>245</v>
      </c>
      <c r="G798" s="9" t="s">
        <v>245</v>
      </c>
      <c r="H798" s="9" t="s">
        <v>12</v>
      </c>
      <c r="I798" s="9" t="s">
        <v>12</v>
      </c>
      <c r="J798" s="9" t="s">
        <v>13</v>
      </c>
      <c r="K798" s="9" t="s">
        <v>302</v>
      </c>
      <c r="M798" s="10">
        <v>430</v>
      </c>
      <c r="N798" s="10">
        <v>430</v>
      </c>
      <c r="O798" s="10">
        <v>430</v>
      </c>
      <c r="P798" s="10">
        <v>430</v>
      </c>
      <c r="Q798" s="10">
        <v>430</v>
      </c>
      <c r="R798" s="10">
        <v>430</v>
      </c>
      <c r="S798" s="10">
        <v>430</v>
      </c>
      <c r="T798" s="10">
        <v>430</v>
      </c>
      <c r="U798" s="10">
        <v>430</v>
      </c>
      <c r="V798" s="10">
        <v>430</v>
      </c>
      <c r="W798" s="10">
        <v>430</v>
      </c>
      <c r="X798" s="10">
        <v>430</v>
      </c>
      <c r="Y798" s="10">
        <f t="shared" si="13"/>
        <v>5160</v>
      </c>
    </row>
    <row r="799" spans="1:25" s="9" customFormat="1" ht="11.25" customHeight="1">
      <c r="A799" s="261">
        <v>2014</v>
      </c>
      <c r="B799" s="261" t="s">
        <v>573</v>
      </c>
      <c r="C799" s="9" t="s">
        <v>32</v>
      </c>
      <c r="D799" s="9" t="s">
        <v>32</v>
      </c>
      <c r="E799" s="9" t="s">
        <v>12</v>
      </c>
      <c r="F799" s="9" t="s">
        <v>245</v>
      </c>
      <c r="G799" s="9" t="s">
        <v>245</v>
      </c>
      <c r="H799" s="9" t="s">
        <v>12</v>
      </c>
      <c r="I799" s="9" t="s">
        <v>12</v>
      </c>
      <c r="J799" s="9" t="s">
        <v>13</v>
      </c>
      <c r="K799" s="9" t="s">
        <v>310</v>
      </c>
      <c r="M799" s="10">
        <v>430</v>
      </c>
      <c r="N799" s="10">
        <v>430</v>
      </c>
      <c r="O799" s="10">
        <v>430</v>
      </c>
      <c r="P799" s="10">
        <v>430</v>
      </c>
      <c r="Q799" s="10">
        <v>430</v>
      </c>
      <c r="R799" s="10">
        <v>430</v>
      </c>
      <c r="S799" s="10">
        <v>430</v>
      </c>
      <c r="T799" s="10">
        <v>430</v>
      </c>
      <c r="U799" s="10">
        <v>430</v>
      </c>
      <c r="V799" s="10">
        <v>430</v>
      </c>
      <c r="W799" s="10">
        <v>430</v>
      </c>
      <c r="X799" s="10">
        <v>430</v>
      </c>
      <c r="Y799" s="10">
        <f t="shared" si="13"/>
        <v>5160</v>
      </c>
    </row>
    <row r="800" spans="1:25" s="9" customFormat="1" ht="11.25" customHeight="1">
      <c r="A800" s="261">
        <v>2014</v>
      </c>
      <c r="B800" s="261" t="s">
        <v>573</v>
      </c>
      <c r="C800" s="9" t="s">
        <v>32</v>
      </c>
      <c r="D800" s="9" t="s">
        <v>32</v>
      </c>
      <c r="E800" s="9" t="s">
        <v>12</v>
      </c>
      <c r="F800" s="9" t="s">
        <v>245</v>
      </c>
      <c r="G800" s="9" t="s">
        <v>245</v>
      </c>
      <c r="H800" s="9" t="s">
        <v>12</v>
      </c>
      <c r="I800" s="9" t="s">
        <v>12</v>
      </c>
      <c r="J800" s="9" t="s">
        <v>13</v>
      </c>
      <c r="M800" s="10"/>
      <c r="N800" s="10"/>
      <c r="O800" s="422">
        <v>495.03</v>
      </c>
      <c r="P800" s="422">
        <v>495.03</v>
      </c>
      <c r="Q800" s="422">
        <v>495.03</v>
      </c>
      <c r="R800" s="422">
        <v>495.03</v>
      </c>
      <c r="S800" s="422">
        <v>495.03</v>
      </c>
      <c r="T800" s="422">
        <v>495.03</v>
      </c>
      <c r="U800" s="422">
        <v>495.03</v>
      </c>
      <c r="V800" s="422">
        <v>495.03</v>
      </c>
      <c r="W800" s="422">
        <v>495.03</v>
      </c>
      <c r="X800" s="422">
        <v>495.03</v>
      </c>
      <c r="Y800" s="422">
        <f t="shared" si="13"/>
        <v>4950.2999999999984</v>
      </c>
    </row>
    <row r="801" spans="1:25" s="9" customFormat="1" ht="11.25" customHeight="1">
      <c r="A801" s="261">
        <v>2014</v>
      </c>
      <c r="B801" s="261" t="s">
        <v>573</v>
      </c>
      <c r="C801" s="9" t="s">
        <v>32</v>
      </c>
      <c r="D801" s="9" t="s">
        <v>32</v>
      </c>
      <c r="E801" s="9" t="s">
        <v>12</v>
      </c>
      <c r="F801" s="9" t="s">
        <v>245</v>
      </c>
      <c r="G801" s="9" t="s">
        <v>245</v>
      </c>
      <c r="H801" s="9" t="s">
        <v>12</v>
      </c>
      <c r="I801" s="9" t="s">
        <v>12</v>
      </c>
      <c r="J801" s="9" t="s">
        <v>61</v>
      </c>
      <c r="M801" s="422">
        <v>400</v>
      </c>
      <c r="N801" s="422">
        <v>400</v>
      </c>
      <c r="O801" s="422">
        <v>400</v>
      </c>
      <c r="P801" s="422">
        <v>400</v>
      </c>
      <c r="Q801" s="422">
        <v>400</v>
      </c>
      <c r="R801" s="422">
        <v>400</v>
      </c>
      <c r="S801" s="422">
        <v>400</v>
      </c>
      <c r="T801" s="422">
        <v>400</v>
      </c>
      <c r="U801" s="422">
        <v>400</v>
      </c>
      <c r="V801" s="422">
        <v>400</v>
      </c>
      <c r="W801" s="422">
        <v>400</v>
      </c>
      <c r="X801" s="422">
        <v>400</v>
      </c>
      <c r="Y801" s="422">
        <f>SUM(M801:X801)</f>
        <v>4800</v>
      </c>
    </row>
    <row r="802" spans="1:25" s="9" customFormat="1" ht="11.25" customHeight="1">
      <c r="A802" s="261">
        <v>2014</v>
      </c>
      <c r="B802" s="261" t="s">
        <v>293</v>
      </c>
      <c r="C802" s="9" t="s">
        <v>293</v>
      </c>
      <c r="D802" s="9" t="s">
        <v>293</v>
      </c>
      <c r="E802" s="9" t="s">
        <v>293</v>
      </c>
      <c r="F802" s="9" t="s">
        <v>227</v>
      </c>
      <c r="G802" s="9" t="s">
        <v>439</v>
      </c>
      <c r="H802" s="9" t="s">
        <v>293</v>
      </c>
      <c r="I802" s="9" t="s">
        <v>293</v>
      </c>
      <c r="J802" s="9" t="s">
        <v>293</v>
      </c>
      <c r="M802" s="10">
        <v>64270.367419941031</v>
      </c>
      <c r="N802" s="10">
        <v>20534.620088869884</v>
      </c>
      <c r="O802" s="10">
        <v>214421.4293299306</v>
      </c>
      <c r="P802" s="10">
        <v>806226.93194687692</v>
      </c>
      <c r="Q802" s="10">
        <v>979453.46328613348</v>
      </c>
      <c r="R802" s="10">
        <v>987434.69169264822</v>
      </c>
      <c r="S802" s="10">
        <v>472697.88335313217</v>
      </c>
      <c r="T802" s="10">
        <v>703646.19140429597</v>
      </c>
      <c r="U802" s="10">
        <v>153168.97270607942</v>
      </c>
      <c r="V802" s="10">
        <v>95069.870132899596</v>
      </c>
      <c r="W802" s="10">
        <v>90273.499969108685</v>
      </c>
      <c r="X802" s="10">
        <v>73945.777249858191</v>
      </c>
      <c r="Y802" s="10">
        <f>SUM(M802:X802)</f>
        <v>4661143.6985797742</v>
      </c>
    </row>
    <row r="803" spans="1:25" s="9" customFormat="1" ht="11.25" customHeight="1">
      <c r="A803" s="261">
        <v>2014</v>
      </c>
      <c r="B803" s="261" t="s">
        <v>574</v>
      </c>
      <c r="C803" s="9" t="s">
        <v>292</v>
      </c>
      <c r="D803" s="9" t="s">
        <v>292</v>
      </c>
      <c r="E803" s="9" t="s">
        <v>292</v>
      </c>
      <c r="F803" s="9" t="s">
        <v>227</v>
      </c>
      <c r="G803" s="9" t="s">
        <v>439</v>
      </c>
      <c r="H803" s="9" t="s">
        <v>292</v>
      </c>
      <c r="I803" s="9" t="s">
        <v>292</v>
      </c>
      <c r="J803" s="9" t="s">
        <v>292</v>
      </c>
      <c r="M803" s="10">
        <v>5847537.3808992412</v>
      </c>
      <c r="N803" s="10">
        <v>6462152.5054680184</v>
      </c>
      <c r="O803" s="10">
        <v>8126186.3306072643</v>
      </c>
      <c r="P803" s="10">
        <v>13194534.497393187</v>
      </c>
      <c r="Q803" s="10">
        <v>25602447.07998959</v>
      </c>
      <c r="R803" s="10">
        <v>28048859.400314849</v>
      </c>
      <c r="S803" s="10">
        <v>22543323.106171269</v>
      </c>
      <c r="T803" s="10">
        <v>16766837.554441627</v>
      </c>
      <c r="U803" s="10">
        <v>8502572.9492123183</v>
      </c>
      <c r="V803" s="10">
        <v>6855241.7978538405</v>
      </c>
      <c r="W803" s="10">
        <v>6617862.1039150814</v>
      </c>
      <c r="X803" s="10">
        <v>7217236.809271344</v>
      </c>
      <c r="Y803" s="10">
        <f t="shared" ref="Y803:Y866" si="14">SUM(M803:X803)</f>
        <v>155784791.51553762</v>
      </c>
    </row>
    <row r="804" spans="1:25" customFormat="1" ht="11.25" customHeight="1">
      <c r="A804" s="261">
        <v>2014</v>
      </c>
      <c r="B804" s="261" t="s">
        <v>573</v>
      </c>
      <c r="C804" s="9" t="s">
        <v>16</v>
      </c>
      <c r="D804" s="9" t="s">
        <v>16</v>
      </c>
      <c r="E804" s="9" t="s">
        <v>25</v>
      </c>
      <c r="F804" s="9" t="s">
        <v>227</v>
      </c>
      <c r="G804" s="9" t="s">
        <v>439</v>
      </c>
      <c r="H804" s="9" t="s">
        <v>25</v>
      </c>
      <c r="I804" s="9" t="s">
        <v>25</v>
      </c>
      <c r="J804" s="9" t="s">
        <v>26</v>
      </c>
      <c r="K804" s="9"/>
      <c r="L804" s="9"/>
      <c r="M804" s="10">
        <v>80</v>
      </c>
      <c r="N804" s="10">
        <v>80</v>
      </c>
      <c r="O804" s="10">
        <v>80</v>
      </c>
      <c r="P804" s="10">
        <v>80</v>
      </c>
      <c r="Q804" s="10">
        <v>80</v>
      </c>
      <c r="R804" s="10">
        <v>80</v>
      </c>
      <c r="S804" s="10">
        <v>80</v>
      </c>
      <c r="T804" s="10">
        <v>80</v>
      </c>
      <c r="U804" s="10">
        <v>80</v>
      </c>
      <c r="V804" s="10">
        <v>80</v>
      </c>
      <c r="W804" s="10">
        <v>80</v>
      </c>
      <c r="X804" s="10">
        <v>80</v>
      </c>
      <c r="Y804" s="10">
        <f t="shared" si="14"/>
        <v>960</v>
      </c>
    </row>
    <row r="805" spans="1:25" customFormat="1" ht="11.25" customHeight="1">
      <c r="A805" s="261">
        <v>2014</v>
      </c>
      <c r="B805" s="261" t="s">
        <v>573</v>
      </c>
      <c r="C805" s="9" t="s">
        <v>16</v>
      </c>
      <c r="D805" s="9" t="s">
        <v>16</v>
      </c>
      <c r="E805" s="9" t="s">
        <v>148</v>
      </c>
      <c r="F805" s="9" t="s">
        <v>227</v>
      </c>
      <c r="G805" s="9" t="s">
        <v>439</v>
      </c>
      <c r="H805" s="9" t="s">
        <v>148</v>
      </c>
      <c r="I805" s="9" t="s">
        <v>148</v>
      </c>
      <c r="J805" s="9" t="s">
        <v>148</v>
      </c>
      <c r="K805" s="9"/>
      <c r="L805" s="9"/>
      <c r="M805" s="10">
        <v>39023</v>
      </c>
      <c r="N805" s="10">
        <v>39023</v>
      </c>
      <c r="O805" s="10">
        <v>39023</v>
      </c>
      <c r="P805" s="10">
        <v>39023</v>
      </c>
      <c r="Q805" s="10">
        <v>39023</v>
      </c>
      <c r="R805" s="10">
        <v>39023</v>
      </c>
      <c r="S805" s="10">
        <v>39023</v>
      </c>
      <c r="T805" s="10">
        <v>39023</v>
      </c>
      <c r="U805" s="10">
        <v>39023</v>
      </c>
      <c r="V805" s="10">
        <v>39023</v>
      </c>
      <c r="W805" s="10">
        <v>39023</v>
      </c>
      <c r="X805" s="10">
        <v>39023</v>
      </c>
      <c r="Y805" s="10">
        <f t="shared" si="14"/>
        <v>468276</v>
      </c>
    </row>
    <row r="806" spans="1:25" customFormat="1" ht="11.25" customHeight="1">
      <c r="A806" s="261">
        <v>2014</v>
      </c>
      <c r="B806" s="261" t="s">
        <v>573</v>
      </c>
      <c r="C806" s="9" t="s">
        <v>16</v>
      </c>
      <c r="D806" s="9" t="s">
        <v>16</v>
      </c>
      <c r="E806" s="9" t="s">
        <v>148</v>
      </c>
      <c r="F806" s="9" t="s">
        <v>227</v>
      </c>
      <c r="G806" s="9" t="s">
        <v>439</v>
      </c>
      <c r="H806" s="9" t="s">
        <v>148</v>
      </c>
      <c r="I806" s="9" t="s">
        <v>148</v>
      </c>
      <c r="J806" s="9" t="s">
        <v>283</v>
      </c>
      <c r="K806" s="9"/>
      <c r="L806" s="9"/>
      <c r="M806" s="10">
        <v>2500</v>
      </c>
      <c r="N806" s="10">
        <v>2500</v>
      </c>
      <c r="O806" s="10">
        <v>2500</v>
      </c>
      <c r="P806" s="10">
        <v>2500</v>
      </c>
      <c r="Q806" s="10">
        <v>2500</v>
      </c>
      <c r="R806" s="10">
        <v>2500</v>
      </c>
      <c r="S806" s="10">
        <v>2500</v>
      </c>
      <c r="T806" s="10">
        <v>2500</v>
      </c>
      <c r="U806" s="10">
        <v>2500</v>
      </c>
      <c r="V806" s="10">
        <v>2500</v>
      </c>
      <c r="W806" s="10">
        <v>2500</v>
      </c>
      <c r="X806" s="10">
        <v>2500</v>
      </c>
      <c r="Y806" s="10">
        <f t="shared" si="14"/>
        <v>30000</v>
      </c>
    </row>
    <row r="807" spans="1:25" customFormat="1" ht="11.25" customHeight="1">
      <c r="A807" s="261">
        <v>2014</v>
      </c>
      <c r="B807" s="261" t="s">
        <v>573</v>
      </c>
      <c r="C807" s="9" t="s">
        <v>16</v>
      </c>
      <c r="D807" s="9" t="s">
        <v>16</v>
      </c>
      <c r="E807" s="9" t="s">
        <v>27</v>
      </c>
      <c r="F807" s="9" t="s">
        <v>227</v>
      </c>
      <c r="G807" s="9" t="s">
        <v>439</v>
      </c>
      <c r="H807" s="9" t="s">
        <v>27</v>
      </c>
      <c r="I807" s="9" t="s">
        <v>27</v>
      </c>
      <c r="J807" s="9" t="s">
        <v>28</v>
      </c>
      <c r="K807" s="9"/>
      <c r="L807" s="9"/>
      <c r="M807" s="10">
        <v>900</v>
      </c>
      <c r="N807" s="10">
        <v>800</v>
      </c>
      <c r="O807" s="10">
        <v>800</v>
      </c>
      <c r="P807" s="10">
        <v>900</v>
      </c>
      <c r="Q807" s="10">
        <v>800</v>
      </c>
      <c r="R807" s="10">
        <v>800</v>
      </c>
      <c r="S807" s="10">
        <v>900</v>
      </c>
      <c r="T807" s="10">
        <v>800</v>
      </c>
      <c r="U807" s="10">
        <v>800</v>
      </c>
      <c r="V807" s="10">
        <v>900</v>
      </c>
      <c r="W807" s="10">
        <v>800</v>
      </c>
      <c r="X807" s="10">
        <v>800</v>
      </c>
      <c r="Y807" s="10">
        <f t="shared" si="14"/>
        <v>10000</v>
      </c>
    </row>
    <row r="808" spans="1:25" customFormat="1" ht="11.25" customHeight="1">
      <c r="A808" s="261">
        <v>2014</v>
      </c>
      <c r="B808" s="261" t="s">
        <v>573</v>
      </c>
      <c r="C808" s="9" t="s">
        <v>16</v>
      </c>
      <c r="D808" s="9" t="s">
        <v>16</v>
      </c>
      <c r="E808" s="9" t="s">
        <v>149</v>
      </c>
      <c r="F808" s="9" t="s">
        <v>227</v>
      </c>
      <c r="G808" s="9" t="s">
        <v>439</v>
      </c>
      <c r="H808" s="9" t="s">
        <v>149</v>
      </c>
      <c r="I808" s="9" t="s">
        <v>149</v>
      </c>
      <c r="J808" s="9" t="s">
        <v>150</v>
      </c>
      <c r="K808" s="9"/>
      <c r="L808" s="9"/>
      <c r="M808" s="10">
        <v>2388.44</v>
      </c>
      <c r="N808" s="10">
        <v>2388.44</v>
      </c>
      <c r="O808" s="10">
        <v>2388.44</v>
      </c>
      <c r="P808" s="10">
        <v>2388.44</v>
      </c>
      <c r="Q808" s="10">
        <v>2388.44</v>
      </c>
      <c r="R808" s="10">
        <v>2388.44</v>
      </c>
      <c r="S808" s="10">
        <v>2388.44</v>
      </c>
      <c r="T808" s="10">
        <v>2388.44</v>
      </c>
      <c r="U808" s="10">
        <v>2388.44</v>
      </c>
      <c r="V808" s="10">
        <v>2388.44</v>
      </c>
      <c r="W808" s="10">
        <v>2388.44</v>
      </c>
      <c r="X808" s="10">
        <v>2388.44</v>
      </c>
      <c r="Y808" s="10">
        <f t="shared" si="14"/>
        <v>28661.279999999995</v>
      </c>
    </row>
    <row r="809" spans="1:25" customFormat="1" ht="11.25" customHeight="1">
      <c r="A809" s="261">
        <v>2014</v>
      </c>
      <c r="B809" s="261" t="s">
        <v>573</v>
      </c>
      <c r="C809" s="9" t="s">
        <v>16</v>
      </c>
      <c r="D809" s="9" t="s">
        <v>16</v>
      </c>
      <c r="E809" s="9" t="s">
        <v>18</v>
      </c>
      <c r="F809" s="9" t="s">
        <v>227</v>
      </c>
      <c r="G809" s="9" t="s">
        <v>439</v>
      </c>
      <c r="H809" s="9" t="s">
        <v>18</v>
      </c>
      <c r="I809" s="9" t="s">
        <v>18</v>
      </c>
      <c r="J809" s="9" t="s">
        <v>34</v>
      </c>
      <c r="K809" s="9"/>
      <c r="L809" s="9"/>
      <c r="M809" s="10">
        <v>200</v>
      </c>
      <c r="N809" s="10">
        <v>200</v>
      </c>
      <c r="O809" s="10">
        <v>200</v>
      </c>
      <c r="P809" s="10">
        <v>200</v>
      </c>
      <c r="Q809" s="10">
        <v>200</v>
      </c>
      <c r="R809" s="10">
        <v>200</v>
      </c>
      <c r="S809" s="10">
        <v>200</v>
      </c>
      <c r="T809" s="10">
        <v>200</v>
      </c>
      <c r="U809" s="10">
        <v>200</v>
      </c>
      <c r="V809" s="10">
        <v>200</v>
      </c>
      <c r="W809" s="10">
        <v>200</v>
      </c>
      <c r="X809" s="10">
        <v>200</v>
      </c>
      <c r="Y809" s="10">
        <f t="shared" si="14"/>
        <v>2400</v>
      </c>
    </row>
    <row r="810" spans="1:25" customFormat="1" ht="11.25" customHeight="1">
      <c r="A810" s="261">
        <v>2014</v>
      </c>
      <c r="B810" s="261" t="s">
        <v>573</v>
      </c>
      <c r="C810" s="9" t="s">
        <v>16</v>
      </c>
      <c r="D810" s="9" t="s">
        <v>16</v>
      </c>
      <c r="E810" s="9" t="s">
        <v>18</v>
      </c>
      <c r="F810" s="9" t="s">
        <v>227</v>
      </c>
      <c r="G810" s="9" t="s">
        <v>439</v>
      </c>
      <c r="H810" s="9" t="s">
        <v>18</v>
      </c>
      <c r="I810" s="9" t="s">
        <v>18</v>
      </c>
      <c r="J810" s="9" t="s">
        <v>43</v>
      </c>
      <c r="K810" s="9"/>
      <c r="L810" s="9"/>
      <c r="M810" s="10">
        <v>1800</v>
      </c>
      <c r="N810" s="10">
        <v>1800</v>
      </c>
      <c r="O810" s="10">
        <v>1800</v>
      </c>
      <c r="P810" s="10">
        <v>1800</v>
      </c>
      <c r="Q810" s="10">
        <v>1800</v>
      </c>
      <c r="R810" s="10">
        <v>1800</v>
      </c>
      <c r="S810" s="10">
        <v>1800</v>
      </c>
      <c r="T810" s="10">
        <v>1800</v>
      </c>
      <c r="U810" s="10">
        <v>1800</v>
      </c>
      <c r="V810" s="10">
        <v>1800</v>
      </c>
      <c r="W810" s="10">
        <v>1800</v>
      </c>
      <c r="X810" s="10">
        <v>1800</v>
      </c>
      <c r="Y810" s="10">
        <f t="shared" si="14"/>
        <v>21600</v>
      </c>
    </row>
    <row r="811" spans="1:25" customFormat="1" ht="11.25" customHeight="1">
      <c r="A811" s="261">
        <v>2014</v>
      </c>
      <c r="B811" s="261" t="s">
        <v>573</v>
      </c>
      <c r="C811" s="9" t="s">
        <v>16</v>
      </c>
      <c r="D811" s="9" t="s">
        <v>16</v>
      </c>
      <c r="E811" s="9" t="s">
        <v>18</v>
      </c>
      <c r="F811" s="9" t="s">
        <v>227</v>
      </c>
      <c r="G811" s="9" t="s">
        <v>439</v>
      </c>
      <c r="H811" s="9" t="s">
        <v>18</v>
      </c>
      <c r="I811" s="9" t="s">
        <v>18</v>
      </c>
      <c r="J811" s="9" t="s">
        <v>19</v>
      </c>
      <c r="K811" s="9"/>
      <c r="L811" s="9"/>
      <c r="M811" s="10">
        <v>700</v>
      </c>
      <c r="N811" s="10">
        <v>700</v>
      </c>
      <c r="O811" s="10">
        <v>700</v>
      </c>
      <c r="P811" s="10">
        <v>700</v>
      </c>
      <c r="Q811" s="10">
        <v>700</v>
      </c>
      <c r="R811" s="10">
        <v>700</v>
      </c>
      <c r="S811" s="10">
        <v>700</v>
      </c>
      <c r="T811" s="10">
        <v>700</v>
      </c>
      <c r="U811" s="10">
        <v>700</v>
      </c>
      <c r="V811" s="10">
        <v>700</v>
      </c>
      <c r="W811" s="10">
        <v>700</v>
      </c>
      <c r="X811" s="10">
        <v>700</v>
      </c>
      <c r="Y811" s="10">
        <f t="shared" si="14"/>
        <v>8400</v>
      </c>
    </row>
    <row r="812" spans="1:25" customFormat="1" ht="11.25" customHeight="1">
      <c r="A812" s="261">
        <v>2014</v>
      </c>
      <c r="B812" s="261" t="s">
        <v>573</v>
      </c>
      <c r="C812" s="9" t="s">
        <v>16</v>
      </c>
      <c r="D812" s="9" t="s">
        <v>16</v>
      </c>
      <c r="E812" s="9" t="s">
        <v>29</v>
      </c>
      <c r="F812" s="9" t="s">
        <v>227</v>
      </c>
      <c r="G812" s="9" t="s">
        <v>439</v>
      </c>
      <c r="H812" s="9" t="s">
        <v>29</v>
      </c>
      <c r="I812" s="9" t="s">
        <v>29</v>
      </c>
      <c r="J812" s="9" t="s">
        <v>95</v>
      </c>
      <c r="K812" s="9"/>
      <c r="L812" s="9"/>
      <c r="M812" s="10">
        <v>1500</v>
      </c>
      <c r="N812" s="10">
        <v>1500</v>
      </c>
      <c r="O812" s="10">
        <v>1500</v>
      </c>
      <c r="P812" s="10">
        <v>1500</v>
      </c>
      <c r="Q812" s="10">
        <v>1500</v>
      </c>
      <c r="R812" s="10">
        <v>1500</v>
      </c>
      <c r="S812" s="10">
        <v>1500</v>
      </c>
      <c r="T812" s="10">
        <v>1500</v>
      </c>
      <c r="U812" s="10">
        <v>1500</v>
      </c>
      <c r="V812" s="10">
        <v>1500</v>
      </c>
      <c r="W812" s="10">
        <v>1500</v>
      </c>
      <c r="X812" s="10">
        <v>1500</v>
      </c>
      <c r="Y812" s="10">
        <f t="shared" si="14"/>
        <v>18000</v>
      </c>
    </row>
    <row r="813" spans="1:25" customFormat="1" ht="11.25" customHeight="1">
      <c r="A813" s="261">
        <v>2014</v>
      </c>
      <c r="B813" s="261" t="s">
        <v>573</v>
      </c>
      <c r="C813" s="9" t="s">
        <v>16</v>
      </c>
      <c r="D813" s="9" t="s">
        <v>16</v>
      </c>
      <c r="E813" s="9" t="s">
        <v>148</v>
      </c>
      <c r="F813" s="9" t="s">
        <v>228</v>
      </c>
      <c r="G813" s="9" t="s">
        <v>439</v>
      </c>
      <c r="H813" s="9" t="s">
        <v>148</v>
      </c>
      <c r="I813" s="9" t="s">
        <v>148</v>
      </c>
      <c r="J813" s="9" t="s">
        <v>148</v>
      </c>
      <c r="K813" s="9"/>
      <c r="L813" s="9"/>
      <c r="M813" s="10">
        <v>30380</v>
      </c>
      <c r="N813" s="10">
        <v>30380</v>
      </c>
      <c r="O813" s="10">
        <v>30380</v>
      </c>
      <c r="P813" s="10">
        <v>30380</v>
      </c>
      <c r="Q813" s="10">
        <v>30380</v>
      </c>
      <c r="R813" s="10">
        <v>30380</v>
      </c>
      <c r="S813" s="10">
        <v>30380</v>
      </c>
      <c r="T813" s="10">
        <v>30380</v>
      </c>
      <c r="U813" s="10">
        <v>30380</v>
      </c>
      <c r="V813" s="10">
        <v>30380</v>
      </c>
      <c r="W813" s="10">
        <v>30380</v>
      </c>
      <c r="X813" s="10">
        <v>30380</v>
      </c>
      <c r="Y813" s="10">
        <f t="shared" si="14"/>
        <v>364560</v>
      </c>
    </row>
    <row r="814" spans="1:25" customFormat="1" ht="11.25" customHeight="1">
      <c r="A814" s="261">
        <v>2014</v>
      </c>
      <c r="B814" s="261" t="s">
        <v>573</v>
      </c>
      <c r="C814" s="9" t="s">
        <v>16</v>
      </c>
      <c r="D814" s="9" t="s">
        <v>16</v>
      </c>
      <c r="E814" s="9" t="s">
        <v>27</v>
      </c>
      <c r="F814" s="9" t="s">
        <v>228</v>
      </c>
      <c r="G814" s="9" t="s">
        <v>439</v>
      </c>
      <c r="H814" s="9" t="s">
        <v>27</v>
      </c>
      <c r="I814" s="9" t="s">
        <v>27</v>
      </c>
      <c r="J814" s="9" t="s">
        <v>28</v>
      </c>
      <c r="K814" s="9"/>
      <c r="L814" s="9"/>
      <c r="M814" s="10">
        <v>50</v>
      </c>
      <c r="N814" s="10">
        <v>50</v>
      </c>
      <c r="O814" s="10">
        <v>50</v>
      </c>
      <c r="P814" s="10">
        <v>50</v>
      </c>
      <c r="Q814" s="10">
        <v>50</v>
      </c>
      <c r="R814" s="10">
        <v>50</v>
      </c>
      <c r="S814" s="10">
        <v>50</v>
      </c>
      <c r="T814" s="10">
        <v>50</v>
      </c>
      <c r="U814" s="10">
        <v>50</v>
      </c>
      <c r="V814" s="10">
        <v>50</v>
      </c>
      <c r="W814" s="10">
        <v>50</v>
      </c>
      <c r="X814" s="10">
        <v>50</v>
      </c>
      <c r="Y814" s="10">
        <f t="shared" si="14"/>
        <v>600</v>
      </c>
    </row>
    <row r="815" spans="1:25" customFormat="1" ht="11.25" customHeight="1">
      <c r="A815" s="261">
        <v>2014</v>
      </c>
      <c r="B815" s="261" t="s">
        <v>573</v>
      </c>
      <c r="C815" s="9" t="s">
        <v>16</v>
      </c>
      <c r="D815" s="9" t="s">
        <v>16</v>
      </c>
      <c r="E815" s="9" t="s">
        <v>149</v>
      </c>
      <c r="F815" s="9" t="s">
        <v>228</v>
      </c>
      <c r="G815" s="9" t="s">
        <v>439</v>
      </c>
      <c r="H815" s="9" t="s">
        <v>149</v>
      </c>
      <c r="I815" s="9" t="s">
        <v>149</v>
      </c>
      <c r="J815" s="9" t="s">
        <v>150</v>
      </c>
      <c r="K815" s="9"/>
      <c r="L815" s="9"/>
      <c r="M815" s="10">
        <v>7195.07</v>
      </c>
      <c r="N815" s="10">
        <v>7195.07</v>
      </c>
      <c r="O815" s="10">
        <v>7195.07</v>
      </c>
      <c r="P815" s="10">
        <v>7195.07</v>
      </c>
      <c r="Q815" s="10">
        <v>7195.07</v>
      </c>
      <c r="R815" s="10">
        <v>7195.07</v>
      </c>
      <c r="S815" s="10">
        <v>7195.07</v>
      </c>
      <c r="T815" s="10">
        <v>7195.07</v>
      </c>
      <c r="U815" s="10">
        <v>7195.07</v>
      </c>
      <c r="V815" s="10">
        <v>7195.07</v>
      </c>
      <c r="W815" s="10">
        <v>7195.07</v>
      </c>
      <c r="X815" s="10">
        <v>7195.07</v>
      </c>
      <c r="Y815" s="10">
        <f t="shared" si="14"/>
        <v>86340.84</v>
      </c>
    </row>
    <row r="816" spans="1:25" customFormat="1" ht="11.25" customHeight="1">
      <c r="A816" s="261">
        <v>2014</v>
      </c>
      <c r="B816" s="261" t="s">
        <v>573</v>
      </c>
      <c r="C816" s="9" t="s">
        <v>16</v>
      </c>
      <c r="D816" s="9" t="s">
        <v>16</v>
      </c>
      <c r="E816" s="9" t="s">
        <v>18</v>
      </c>
      <c r="F816" s="9" t="s">
        <v>228</v>
      </c>
      <c r="G816" s="9" t="s">
        <v>439</v>
      </c>
      <c r="H816" s="9" t="s">
        <v>18</v>
      </c>
      <c r="I816" s="9" t="s">
        <v>18</v>
      </c>
      <c r="J816" s="9" t="s">
        <v>43</v>
      </c>
      <c r="K816" s="9"/>
      <c r="L816" s="9"/>
      <c r="M816" s="10">
        <v>200</v>
      </c>
      <c r="N816" s="10">
        <v>200</v>
      </c>
      <c r="O816" s="10">
        <v>200</v>
      </c>
      <c r="P816" s="10">
        <v>200</v>
      </c>
      <c r="Q816" s="10">
        <v>200</v>
      </c>
      <c r="R816" s="10">
        <v>200</v>
      </c>
      <c r="S816" s="10">
        <v>200</v>
      </c>
      <c r="T816" s="10">
        <v>200</v>
      </c>
      <c r="U816" s="10">
        <v>200</v>
      </c>
      <c r="V816" s="10">
        <v>200</v>
      </c>
      <c r="W816" s="10">
        <v>200</v>
      </c>
      <c r="X816" s="10">
        <v>200</v>
      </c>
      <c r="Y816" s="10">
        <f t="shared" si="14"/>
        <v>2400</v>
      </c>
    </row>
    <row r="817" spans="1:25" customFormat="1" ht="11.25" customHeight="1">
      <c r="A817" s="261">
        <v>2014</v>
      </c>
      <c r="B817" s="261" t="s">
        <v>573</v>
      </c>
      <c r="C817" s="9" t="s">
        <v>16</v>
      </c>
      <c r="D817" s="9" t="s">
        <v>16</v>
      </c>
      <c r="E817" s="9" t="s">
        <v>29</v>
      </c>
      <c r="F817" s="9" t="s">
        <v>228</v>
      </c>
      <c r="G817" s="9" t="s">
        <v>439</v>
      </c>
      <c r="H817" s="9" t="s">
        <v>29</v>
      </c>
      <c r="I817" s="9" t="s">
        <v>29</v>
      </c>
      <c r="J817" s="9" t="s">
        <v>30</v>
      </c>
      <c r="K817" s="9"/>
      <c r="L817" s="9"/>
      <c r="M817" s="10">
        <v>50</v>
      </c>
      <c r="N817" s="10">
        <v>50</v>
      </c>
      <c r="O817" s="10">
        <v>50</v>
      </c>
      <c r="P817" s="10">
        <v>50</v>
      </c>
      <c r="Q817" s="10">
        <v>50</v>
      </c>
      <c r="R817" s="10">
        <v>50</v>
      </c>
      <c r="S817" s="10">
        <v>50</v>
      </c>
      <c r="T817" s="10">
        <v>50</v>
      </c>
      <c r="U817" s="10">
        <v>50</v>
      </c>
      <c r="V817" s="10">
        <v>50</v>
      </c>
      <c r="W817" s="10">
        <v>50</v>
      </c>
      <c r="X817" s="10">
        <v>50</v>
      </c>
      <c r="Y817" s="10">
        <f t="shared" si="14"/>
        <v>600</v>
      </c>
    </row>
    <row r="818" spans="1:25" customFormat="1" ht="11.25" customHeight="1">
      <c r="A818" s="261">
        <v>2014</v>
      </c>
      <c r="B818" s="261" t="s">
        <v>573</v>
      </c>
      <c r="C818" s="9" t="s">
        <v>16</v>
      </c>
      <c r="D818" s="9" t="s">
        <v>16</v>
      </c>
      <c r="E818" s="9" t="s">
        <v>148</v>
      </c>
      <c r="F818" s="9" t="s">
        <v>53</v>
      </c>
      <c r="G818" s="9" t="s">
        <v>439</v>
      </c>
      <c r="H818" s="9" t="s">
        <v>148</v>
      </c>
      <c r="I818" s="9" t="s">
        <v>148</v>
      </c>
      <c r="J818" s="9" t="s">
        <v>148</v>
      </c>
      <c r="K818" s="9"/>
      <c r="L818" s="9"/>
      <c r="M818" s="10">
        <v>21916</v>
      </c>
      <c r="N818" s="10">
        <v>24738</v>
      </c>
      <c r="O818" s="10">
        <v>34772</v>
      </c>
      <c r="P818" s="10">
        <v>34772</v>
      </c>
      <c r="Q818" s="10">
        <v>34772</v>
      </c>
      <c r="R818" s="10">
        <v>34772</v>
      </c>
      <c r="S818" s="10">
        <v>34772</v>
      </c>
      <c r="T818" s="10">
        <v>34772</v>
      </c>
      <c r="U818" s="10">
        <v>24738</v>
      </c>
      <c r="V818" s="10">
        <v>24738</v>
      </c>
      <c r="W818" s="10">
        <v>24738</v>
      </c>
      <c r="X818" s="10">
        <v>24738</v>
      </c>
      <c r="Y818" s="10">
        <f t="shared" si="14"/>
        <v>354238</v>
      </c>
    </row>
    <row r="819" spans="1:25" customFormat="1" ht="11.25" customHeight="1">
      <c r="A819" s="261">
        <v>2014</v>
      </c>
      <c r="B819" s="261" t="s">
        <v>573</v>
      </c>
      <c r="C819" s="9" t="s">
        <v>16</v>
      </c>
      <c r="D819" s="9" t="s">
        <v>16</v>
      </c>
      <c r="E819" s="9" t="s">
        <v>27</v>
      </c>
      <c r="F819" s="9" t="s">
        <v>53</v>
      </c>
      <c r="G819" s="9" t="s">
        <v>439</v>
      </c>
      <c r="H819" s="9" t="s">
        <v>27</v>
      </c>
      <c r="I819" s="9" t="s">
        <v>27</v>
      </c>
      <c r="J819" s="9" t="s">
        <v>28</v>
      </c>
      <c r="K819" s="9"/>
      <c r="L819" s="9"/>
      <c r="M819" s="10">
        <v>500</v>
      </c>
      <c r="N819" s="10">
        <v>500</v>
      </c>
      <c r="O819" s="10">
        <v>500</v>
      </c>
      <c r="P819" s="10">
        <v>500</v>
      </c>
      <c r="Q819" s="10">
        <v>500</v>
      </c>
      <c r="R819" s="10">
        <v>500</v>
      </c>
      <c r="S819" s="10">
        <v>500</v>
      </c>
      <c r="T819" s="10">
        <v>500</v>
      </c>
      <c r="U819" s="10">
        <v>500</v>
      </c>
      <c r="V819" s="10">
        <v>500</v>
      </c>
      <c r="W819" s="10">
        <v>500</v>
      </c>
      <c r="X819" s="10">
        <v>500</v>
      </c>
      <c r="Y819" s="10">
        <f t="shared" si="14"/>
        <v>6000</v>
      </c>
    </row>
    <row r="820" spans="1:25" customFormat="1" ht="11.25" customHeight="1">
      <c r="A820" s="261">
        <v>2014</v>
      </c>
      <c r="B820" s="261" t="s">
        <v>574</v>
      </c>
      <c r="C820" s="9" t="s">
        <v>16</v>
      </c>
      <c r="D820" s="9" t="s">
        <v>16</v>
      </c>
      <c r="E820" s="9" t="s">
        <v>57</v>
      </c>
      <c r="F820" s="9" t="s">
        <v>53</v>
      </c>
      <c r="G820" s="9" t="s">
        <v>439</v>
      </c>
      <c r="H820" s="9" t="s">
        <v>57</v>
      </c>
      <c r="I820" s="9" t="s">
        <v>57</v>
      </c>
      <c r="J820" s="9" t="s">
        <v>241</v>
      </c>
      <c r="K820" s="9"/>
      <c r="L820" s="9"/>
      <c r="M820" s="10">
        <v>1200</v>
      </c>
      <c r="N820" s="10">
        <v>1200</v>
      </c>
      <c r="O820" s="10">
        <v>1200</v>
      </c>
      <c r="P820" s="10">
        <v>1200</v>
      </c>
      <c r="Q820" s="10">
        <v>1200</v>
      </c>
      <c r="R820" s="10">
        <v>1200</v>
      </c>
      <c r="S820" s="10">
        <v>1200</v>
      </c>
      <c r="T820" s="10">
        <v>1200</v>
      </c>
      <c r="U820" s="10">
        <v>1200</v>
      </c>
      <c r="V820" s="10">
        <v>1200</v>
      </c>
      <c r="W820" s="10">
        <v>1200</v>
      </c>
      <c r="X820" s="10">
        <v>1200</v>
      </c>
      <c r="Y820" s="10">
        <f t="shared" si="14"/>
        <v>14400</v>
      </c>
    </row>
    <row r="821" spans="1:25" customFormat="1" ht="11.25" customHeight="1">
      <c r="A821" s="261">
        <v>2014</v>
      </c>
      <c r="B821" s="261" t="s">
        <v>574</v>
      </c>
      <c r="C821" s="9" t="s">
        <v>16</v>
      </c>
      <c r="D821" s="9" t="s">
        <v>16</v>
      </c>
      <c r="E821" s="9" t="s">
        <v>57</v>
      </c>
      <c r="F821" s="9" t="s">
        <v>53</v>
      </c>
      <c r="G821" s="9" t="s">
        <v>439</v>
      </c>
      <c r="H821" s="9" t="s">
        <v>57</v>
      </c>
      <c r="I821" s="9" t="s">
        <v>57</v>
      </c>
      <c r="J821" s="9" t="s">
        <v>326</v>
      </c>
      <c r="K821" s="9"/>
      <c r="L821" s="9"/>
      <c r="M821" s="10">
        <v>7500</v>
      </c>
      <c r="N821" s="10">
        <v>6900</v>
      </c>
      <c r="O821" s="10">
        <v>6900</v>
      </c>
      <c r="P821" s="10">
        <v>18500</v>
      </c>
      <c r="Q821" s="10">
        <v>6900</v>
      </c>
      <c r="R821" s="10">
        <v>6900</v>
      </c>
      <c r="S821" s="10">
        <v>7500</v>
      </c>
      <c r="T821" s="10">
        <v>6900</v>
      </c>
      <c r="U821" s="10">
        <v>6900</v>
      </c>
      <c r="V821" s="10">
        <v>10500</v>
      </c>
      <c r="W821" s="10">
        <v>6900</v>
      </c>
      <c r="X821" s="10">
        <v>6900</v>
      </c>
      <c r="Y821" s="10">
        <f t="shared" si="14"/>
        <v>99200</v>
      </c>
    </row>
    <row r="822" spans="1:25" customFormat="1" ht="11.25" customHeight="1">
      <c r="A822" s="261">
        <v>2014</v>
      </c>
      <c r="B822" s="261" t="s">
        <v>574</v>
      </c>
      <c r="C822" s="9" t="s">
        <v>16</v>
      </c>
      <c r="D822" s="9" t="s">
        <v>16</v>
      </c>
      <c r="E822" s="9" t="s">
        <v>57</v>
      </c>
      <c r="F822" s="9" t="s">
        <v>53</v>
      </c>
      <c r="G822" s="9" t="s">
        <v>439</v>
      </c>
      <c r="H822" s="9" t="s">
        <v>57</v>
      </c>
      <c r="I822" s="9" t="s">
        <v>57</v>
      </c>
      <c r="J822" s="9" t="s">
        <v>244</v>
      </c>
      <c r="K822" s="9"/>
      <c r="L822" s="9"/>
      <c r="M822" s="10">
        <v>7700</v>
      </c>
      <c r="N822" s="10">
        <v>8700</v>
      </c>
      <c r="O822" s="10">
        <v>7000</v>
      </c>
      <c r="P822" s="10">
        <v>7000</v>
      </c>
      <c r="Q822" s="10">
        <v>7000</v>
      </c>
      <c r="R822" s="10">
        <v>7000</v>
      </c>
      <c r="S822" s="10">
        <v>7000</v>
      </c>
      <c r="T822" s="10">
        <v>7000</v>
      </c>
      <c r="U822" s="10">
        <v>7000</v>
      </c>
      <c r="V822" s="10">
        <v>7000</v>
      </c>
      <c r="W822" s="10">
        <v>7000</v>
      </c>
      <c r="X822" s="10">
        <v>7000</v>
      </c>
      <c r="Y822" s="10">
        <f t="shared" si="14"/>
        <v>86400</v>
      </c>
    </row>
    <row r="823" spans="1:25" customFormat="1" ht="11.25" customHeight="1">
      <c r="A823" s="261">
        <v>2014</v>
      </c>
      <c r="B823" s="261" t="s">
        <v>574</v>
      </c>
      <c r="C823" s="9" t="s">
        <v>16</v>
      </c>
      <c r="D823" s="9" t="s">
        <v>16</v>
      </c>
      <c r="E823" s="9" t="s">
        <v>57</v>
      </c>
      <c r="F823" s="9" t="s">
        <v>53</v>
      </c>
      <c r="G823" s="9" t="s">
        <v>439</v>
      </c>
      <c r="H823" s="9" t="s">
        <v>57</v>
      </c>
      <c r="I823" s="9" t="s">
        <v>57</v>
      </c>
      <c r="J823" s="9" t="s">
        <v>58</v>
      </c>
      <c r="K823" s="9"/>
      <c r="L823" s="9"/>
      <c r="M823" s="10">
        <v>3000</v>
      </c>
      <c r="N823" s="10">
        <v>3000</v>
      </c>
      <c r="O823" s="10">
        <v>3000</v>
      </c>
      <c r="P823" s="10">
        <v>5000</v>
      </c>
      <c r="Q823" s="10">
        <v>5500</v>
      </c>
      <c r="R823" s="10">
        <v>5500</v>
      </c>
      <c r="S823" s="10">
        <v>6000</v>
      </c>
      <c r="T823" s="10">
        <v>4500</v>
      </c>
      <c r="U823" s="10">
        <v>4000</v>
      </c>
      <c r="V823" s="10">
        <v>4500</v>
      </c>
      <c r="W823" s="10">
        <v>4000</v>
      </c>
      <c r="X823" s="10">
        <v>4000</v>
      </c>
      <c r="Y823" s="10">
        <f t="shared" si="14"/>
        <v>52000</v>
      </c>
    </row>
    <row r="824" spans="1:25" customFormat="1" ht="11.25" customHeight="1">
      <c r="A824" s="261">
        <v>2014</v>
      </c>
      <c r="B824" s="261" t="s">
        <v>573</v>
      </c>
      <c r="C824" s="9" t="s">
        <v>16</v>
      </c>
      <c r="D824" s="9" t="s">
        <v>16</v>
      </c>
      <c r="E824" s="9" t="s">
        <v>149</v>
      </c>
      <c r="F824" s="9" t="s">
        <v>53</v>
      </c>
      <c r="G824" s="9" t="s">
        <v>439</v>
      </c>
      <c r="H824" s="9" t="s">
        <v>149</v>
      </c>
      <c r="I824" s="9" t="s">
        <v>149</v>
      </c>
      <c r="J824" s="9" t="s">
        <v>150</v>
      </c>
      <c r="K824" s="9"/>
      <c r="L824" s="9"/>
      <c r="M824" s="10">
        <v>5172.4799999999996</v>
      </c>
      <c r="N824" s="10">
        <v>5935.42</v>
      </c>
      <c r="O824" s="10">
        <v>8560.32</v>
      </c>
      <c r="P824" s="10">
        <v>8560.32</v>
      </c>
      <c r="Q824" s="10">
        <v>8560.32</v>
      </c>
      <c r="R824" s="10">
        <v>8560.32</v>
      </c>
      <c r="S824" s="10">
        <v>8560.32</v>
      </c>
      <c r="T824" s="10">
        <v>8560.32</v>
      </c>
      <c r="U824" s="10">
        <v>5935.42</v>
      </c>
      <c r="V824" s="10">
        <v>5935.42</v>
      </c>
      <c r="W824" s="10">
        <v>5935.42</v>
      </c>
      <c r="X824" s="10">
        <v>5935.42</v>
      </c>
      <c r="Y824" s="10">
        <f t="shared" si="14"/>
        <v>86211.5</v>
      </c>
    </row>
    <row r="825" spans="1:25" customFormat="1" ht="11.25" customHeight="1">
      <c r="A825" s="261">
        <v>2014</v>
      </c>
      <c r="B825" s="261" t="s">
        <v>574</v>
      </c>
      <c r="C825" s="9" t="s">
        <v>16</v>
      </c>
      <c r="D825" s="9" t="s">
        <v>16</v>
      </c>
      <c r="E825" s="9" t="s">
        <v>141</v>
      </c>
      <c r="F825" s="9" t="s">
        <v>53</v>
      </c>
      <c r="G825" s="9" t="s">
        <v>439</v>
      </c>
      <c r="H825" s="9" t="s">
        <v>141</v>
      </c>
      <c r="I825" s="9" t="s">
        <v>141</v>
      </c>
      <c r="J825" s="9" t="s">
        <v>141</v>
      </c>
      <c r="K825" s="9"/>
      <c r="L825" s="9"/>
      <c r="M825" s="10">
        <v>20000</v>
      </c>
      <c r="N825" s="10">
        <v>20000</v>
      </c>
      <c r="O825" s="10">
        <v>22000</v>
      </c>
      <c r="P825" s="10">
        <v>20000</v>
      </c>
      <c r="Q825" s="10">
        <v>20000</v>
      </c>
      <c r="R825" s="10">
        <v>22000</v>
      </c>
      <c r="S825" s="10">
        <v>20000</v>
      </c>
      <c r="T825" s="10">
        <v>20000</v>
      </c>
      <c r="U825" s="10">
        <v>22000</v>
      </c>
      <c r="V825" s="10">
        <v>20000</v>
      </c>
      <c r="W825" s="10">
        <v>22000</v>
      </c>
      <c r="X825" s="10">
        <v>22000</v>
      </c>
      <c r="Y825" s="10">
        <f t="shared" si="14"/>
        <v>250000</v>
      </c>
    </row>
    <row r="826" spans="1:25" customFormat="1" ht="11.25" customHeight="1">
      <c r="A826" s="261">
        <v>2014</v>
      </c>
      <c r="B826" s="261" t="s">
        <v>573</v>
      </c>
      <c r="C826" s="9" t="s">
        <v>16</v>
      </c>
      <c r="D826" s="9" t="s">
        <v>16</v>
      </c>
      <c r="E826" s="9" t="s">
        <v>29</v>
      </c>
      <c r="F826" s="9" t="s">
        <v>53</v>
      </c>
      <c r="G826" s="9" t="s">
        <v>439</v>
      </c>
      <c r="H826" s="9" t="s">
        <v>29</v>
      </c>
      <c r="I826" s="9" t="s">
        <v>29</v>
      </c>
      <c r="J826" s="9" t="s">
        <v>30</v>
      </c>
      <c r="K826" s="9"/>
      <c r="L826" s="9"/>
      <c r="M826" s="10">
        <v>200</v>
      </c>
      <c r="N826" s="10">
        <v>200</v>
      </c>
      <c r="O826" s="10">
        <v>200</v>
      </c>
      <c r="P826" s="10">
        <v>200</v>
      </c>
      <c r="Q826" s="10">
        <v>200</v>
      </c>
      <c r="R826" s="10">
        <v>200</v>
      </c>
      <c r="S826" s="10">
        <v>200</v>
      </c>
      <c r="T826" s="10">
        <v>200</v>
      </c>
      <c r="U826" s="10">
        <v>200</v>
      </c>
      <c r="V826" s="10">
        <v>200</v>
      </c>
      <c r="W826" s="10">
        <v>200</v>
      </c>
      <c r="X826" s="10">
        <v>200</v>
      </c>
      <c r="Y826" s="10">
        <f t="shared" si="14"/>
        <v>2400</v>
      </c>
    </row>
    <row r="827" spans="1:25" customFormat="1" ht="11.25" customHeight="1">
      <c r="A827" s="261">
        <v>2014</v>
      </c>
      <c r="B827" s="261" t="s">
        <v>573</v>
      </c>
      <c r="C827" s="9" t="s">
        <v>16</v>
      </c>
      <c r="D827" s="9" t="s">
        <v>16</v>
      </c>
      <c r="E827" s="9" t="s">
        <v>148</v>
      </c>
      <c r="F827" s="9" t="s">
        <v>231</v>
      </c>
      <c r="G827" s="9" t="s">
        <v>439</v>
      </c>
      <c r="H827" s="9" t="s">
        <v>148</v>
      </c>
      <c r="I827" s="9" t="s">
        <v>148</v>
      </c>
      <c r="J827" s="9" t="s">
        <v>148</v>
      </c>
      <c r="K827" s="9"/>
      <c r="L827" s="9"/>
      <c r="M827" s="10">
        <v>31111</v>
      </c>
      <c r="N827" s="10">
        <v>31111</v>
      </c>
      <c r="O827" s="10">
        <v>31111</v>
      </c>
      <c r="P827" s="10">
        <v>31111</v>
      </c>
      <c r="Q827" s="10">
        <v>31111</v>
      </c>
      <c r="R827" s="10">
        <v>31111</v>
      </c>
      <c r="S827" s="10">
        <v>31111</v>
      </c>
      <c r="T827" s="10">
        <v>31111</v>
      </c>
      <c r="U827" s="10">
        <v>31111</v>
      </c>
      <c r="V827" s="10">
        <v>31111</v>
      </c>
      <c r="W827" s="10">
        <v>31111</v>
      </c>
      <c r="X827" s="10">
        <v>31111</v>
      </c>
      <c r="Y827" s="10">
        <f t="shared" si="14"/>
        <v>373332</v>
      </c>
    </row>
    <row r="828" spans="1:25" customFormat="1" ht="11.25" customHeight="1">
      <c r="A828" s="261">
        <v>2014</v>
      </c>
      <c r="B828" s="261" t="s">
        <v>573</v>
      </c>
      <c r="C828" s="9" t="s">
        <v>16</v>
      </c>
      <c r="D828" s="9" t="s">
        <v>16</v>
      </c>
      <c r="E828" s="9" t="s">
        <v>27</v>
      </c>
      <c r="F828" s="9" t="s">
        <v>231</v>
      </c>
      <c r="G828" s="9" t="s">
        <v>439</v>
      </c>
      <c r="H828" s="9" t="s">
        <v>27</v>
      </c>
      <c r="I828" s="9" t="s">
        <v>27</v>
      </c>
      <c r="J828" s="9" t="s">
        <v>28</v>
      </c>
      <c r="K828" s="9"/>
      <c r="L828" s="9"/>
      <c r="M828" s="10">
        <v>200</v>
      </c>
      <c r="N828" s="10">
        <v>200</v>
      </c>
      <c r="O828" s="10">
        <v>250</v>
      </c>
      <c r="P828" s="10">
        <v>250</v>
      </c>
      <c r="Q828" s="10">
        <v>250</v>
      </c>
      <c r="R828" s="10">
        <v>250</v>
      </c>
      <c r="S828" s="10">
        <v>250</v>
      </c>
      <c r="T828" s="10">
        <v>200</v>
      </c>
      <c r="U828" s="10">
        <v>200</v>
      </c>
      <c r="V828" s="10">
        <v>200</v>
      </c>
      <c r="W828" s="10">
        <v>200</v>
      </c>
      <c r="X828" s="10">
        <v>200</v>
      </c>
      <c r="Y828" s="10">
        <f t="shared" si="14"/>
        <v>2650</v>
      </c>
    </row>
    <row r="829" spans="1:25" customFormat="1" ht="11.25" customHeight="1">
      <c r="A829" s="261">
        <v>2014</v>
      </c>
      <c r="B829" s="261" t="s">
        <v>573</v>
      </c>
      <c r="C829" s="9" t="s">
        <v>16</v>
      </c>
      <c r="D829" s="9" t="s">
        <v>16</v>
      </c>
      <c r="E829" s="9" t="s">
        <v>22</v>
      </c>
      <c r="F829" s="9" t="s">
        <v>231</v>
      </c>
      <c r="G829" s="9" t="s">
        <v>439</v>
      </c>
      <c r="H829" s="9" t="s">
        <v>22</v>
      </c>
      <c r="I829" s="9" t="s">
        <v>23</v>
      </c>
      <c r="J829" s="9" t="s">
        <v>24</v>
      </c>
      <c r="K829" s="9"/>
      <c r="L829" s="9"/>
      <c r="M829" s="10">
        <v>1000</v>
      </c>
      <c r="N829" s="10">
        <v>1000</v>
      </c>
      <c r="O829" s="10">
        <v>1500</v>
      </c>
      <c r="P829" s="10">
        <v>2000</v>
      </c>
      <c r="Q829" s="10">
        <v>2000</v>
      </c>
      <c r="R829" s="10">
        <v>2000</v>
      </c>
      <c r="S829" s="10">
        <v>2000</v>
      </c>
      <c r="T829" s="10">
        <v>1500</v>
      </c>
      <c r="U829" s="10">
        <v>1500</v>
      </c>
      <c r="V829" s="10">
        <v>1500</v>
      </c>
      <c r="W829" s="10">
        <v>1500</v>
      </c>
      <c r="X829" s="10">
        <v>1200</v>
      </c>
      <c r="Y829" s="10">
        <f t="shared" si="14"/>
        <v>18700</v>
      </c>
    </row>
    <row r="830" spans="1:25" customFormat="1" ht="11.25" customHeight="1">
      <c r="A830" s="261">
        <v>2014</v>
      </c>
      <c r="B830" s="261" t="s">
        <v>573</v>
      </c>
      <c r="C830" s="9" t="s">
        <v>16</v>
      </c>
      <c r="D830" s="9" t="s">
        <v>16</v>
      </c>
      <c r="E830" s="9" t="s">
        <v>149</v>
      </c>
      <c r="F830" s="9" t="s">
        <v>231</v>
      </c>
      <c r="G830" s="9" t="s">
        <v>439</v>
      </c>
      <c r="H830" s="9" t="s">
        <v>149</v>
      </c>
      <c r="I830" s="9" t="s">
        <v>149</v>
      </c>
      <c r="J830" s="9" t="s">
        <v>150</v>
      </c>
      <c r="K830" s="9"/>
      <c r="L830" s="9"/>
      <c r="M830" s="10">
        <v>3179.63</v>
      </c>
      <c r="N830" s="10">
        <v>3179.63</v>
      </c>
      <c r="O830" s="10">
        <v>3179.63</v>
      </c>
      <c r="P830" s="10">
        <v>3179.63</v>
      </c>
      <c r="Q830" s="10">
        <v>3179.63</v>
      </c>
      <c r="R830" s="10">
        <v>3179.63</v>
      </c>
      <c r="S830" s="10">
        <v>3179.63</v>
      </c>
      <c r="T830" s="10">
        <v>3179.63</v>
      </c>
      <c r="U830" s="10">
        <v>3179.63</v>
      </c>
      <c r="V830" s="10">
        <v>3179.63</v>
      </c>
      <c r="W830" s="10">
        <v>3179.63</v>
      </c>
      <c r="X830" s="10">
        <v>3179.63</v>
      </c>
      <c r="Y830" s="10">
        <f t="shared" si="14"/>
        <v>38155.560000000005</v>
      </c>
    </row>
    <row r="831" spans="1:25" customFormat="1" ht="11.25" customHeight="1">
      <c r="A831" s="261">
        <v>2014</v>
      </c>
      <c r="B831" s="261" t="s">
        <v>573</v>
      </c>
      <c r="C831" s="9" t="s">
        <v>16</v>
      </c>
      <c r="D831" s="9" t="s">
        <v>16</v>
      </c>
      <c r="E831" s="9" t="s">
        <v>148</v>
      </c>
      <c r="F831" s="9" t="s">
        <v>232</v>
      </c>
      <c r="G831" s="9" t="s">
        <v>439</v>
      </c>
      <c r="H831" s="9" t="s">
        <v>148</v>
      </c>
      <c r="I831" s="9" t="s">
        <v>148</v>
      </c>
      <c r="J831" s="9" t="s">
        <v>148</v>
      </c>
      <c r="K831" s="9"/>
      <c r="L831" s="9"/>
      <c r="M831" s="10">
        <v>78269</v>
      </c>
      <c r="N831" s="10">
        <v>78269</v>
      </c>
      <c r="O831" s="10">
        <v>78269</v>
      </c>
      <c r="P831" s="10">
        <v>78269</v>
      </c>
      <c r="Q831" s="10">
        <v>78269</v>
      </c>
      <c r="R831" s="10">
        <v>78269</v>
      </c>
      <c r="S831" s="10">
        <v>78269</v>
      </c>
      <c r="T831" s="10">
        <v>78269</v>
      </c>
      <c r="U831" s="10">
        <v>78269</v>
      </c>
      <c r="V831" s="10">
        <v>78269</v>
      </c>
      <c r="W831" s="10">
        <v>78269</v>
      </c>
      <c r="X831" s="10">
        <v>78269</v>
      </c>
      <c r="Y831" s="10">
        <f t="shared" si="14"/>
        <v>939228</v>
      </c>
    </row>
    <row r="832" spans="1:25" customFormat="1" ht="11.25" customHeight="1">
      <c r="A832" s="261">
        <v>2014</v>
      </c>
      <c r="B832" s="261" t="s">
        <v>573</v>
      </c>
      <c r="C832" s="9" t="s">
        <v>16</v>
      </c>
      <c r="D832" s="9" t="s">
        <v>16</v>
      </c>
      <c r="E832" s="9" t="s">
        <v>148</v>
      </c>
      <c r="F832" s="9" t="s">
        <v>232</v>
      </c>
      <c r="G832" s="9" t="s">
        <v>439</v>
      </c>
      <c r="H832" s="9" t="s">
        <v>148</v>
      </c>
      <c r="I832" s="9" t="s">
        <v>148</v>
      </c>
      <c r="J832" s="9" t="s">
        <v>283</v>
      </c>
      <c r="K832" s="9"/>
      <c r="L832" s="9"/>
      <c r="M832" s="10">
        <v>500</v>
      </c>
      <c r="N832" s="10">
        <v>500</v>
      </c>
      <c r="O832" s="10">
        <v>500</v>
      </c>
      <c r="P832" s="10">
        <v>500</v>
      </c>
      <c r="Q832" s="10">
        <v>500</v>
      </c>
      <c r="R832" s="10">
        <v>500</v>
      </c>
      <c r="S832" s="10">
        <v>500</v>
      </c>
      <c r="T832" s="10">
        <v>500</v>
      </c>
      <c r="U832" s="10">
        <v>500</v>
      </c>
      <c r="V832" s="10">
        <v>500</v>
      </c>
      <c r="W832" s="10">
        <v>500</v>
      </c>
      <c r="X832" s="10">
        <v>500</v>
      </c>
      <c r="Y832" s="10">
        <f t="shared" si="14"/>
        <v>6000</v>
      </c>
    </row>
    <row r="833" spans="1:25" customFormat="1" ht="11.25" customHeight="1">
      <c r="A833" s="261">
        <v>2014</v>
      </c>
      <c r="B833" s="261" t="s">
        <v>574</v>
      </c>
      <c r="C833" s="9" t="s">
        <v>16</v>
      </c>
      <c r="D833" s="9" t="s">
        <v>16</v>
      </c>
      <c r="E833" s="9" t="s">
        <v>20</v>
      </c>
      <c r="F833" s="9" t="s">
        <v>232</v>
      </c>
      <c r="G833" s="9" t="s">
        <v>439</v>
      </c>
      <c r="H833" s="9" t="s">
        <v>20</v>
      </c>
      <c r="I833" s="9" t="s">
        <v>20</v>
      </c>
      <c r="J833" s="9" t="s">
        <v>238</v>
      </c>
      <c r="K833" s="9"/>
      <c r="L833" s="9"/>
      <c r="M833" s="10">
        <v>15400</v>
      </c>
      <c r="N833" s="10">
        <v>15400</v>
      </c>
      <c r="O833" s="10">
        <v>15400</v>
      </c>
      <c r="P833" s="10">
        <v>15400</v>
      </c>
      <c r="Q833" s="10">
        <v>15400</v>
      </c>
      <c r="R833" s="10">
        <v>15400</v>
      </c>
      <c r="S833" s="10">
        <v>15400</v>
      </c>
      <c r="T833" s="10">
        <v>15400</v>
      </c>
      <c r="U833" s="10">
        <v>15400</v>
      </c>
      <c r="V833" s="10">
        <v>15400</v>
      </c>
      <c r="W833" s="10">
        <v>15400</v>
      </c>
      <c r="X833" s="10">
        <v>15400</v>
      </c>
      <c r="Y833" s="10">
        <f t="shared" si="14"/>
        <v>184800</v>
      </c>
    </row>
    <row r="834" spans="1:25" customFormat="1" ht="11.25" customHeight="1">
      <c r="A834" s="261">
        <v>2014</v>
      </c>
      <c r="B834" s="261" t="s">
        <v>574</v>
      </c>
      <c r="C834" s="9" t="s">
        <v>16</v>
      </c>
      <c r="D834" s="9" t="s">
        <v>16</v>
      </c>
      <c r="E834" s="9" t="s">
        <v>20</v>
      </c>
      <c r="F834" s="9" t="s">
        <v>232</v>
      </c>
      <c r="G834" s="9" t="s">
        <v>439</v>
      </c>
      <c r="H834" s="9" t="s">
        <v>20</v>
      </c>
      <c r="I834" s="9" t="s">
        <v>20</v>
      </c>
      <c r="J834" s="9" t="s">
        <v>281</v>
      </c>
      <c r="K834" s="9"/>
      <c r="L834" s="9"/>
      <c r="M834" s="10">
        <v>164500</v>
      </c>
      <c r="N834" s="10">
        <v>170000</v>
      </c>
      <c r="O834" s="157">
        <v>147250</v>
      </c>
      <c r="P834" s="157">
        <v>150000</v>
      </c>
      <c r="Q834" s="157">
        <v>178600</v>
      </c>
      <c r="R834" s="157">
        <v>178600</v>
      </c>
      <c r="S834" s="157">
        <v>120000</v>
      </c>
      <c r="T834" s="157">
        <v>100000</v>
      </c>
      <c r="U834" s="157">
        <v>100000</v>
      </c>
      <c r="V834" s="157">
        <v>80000</v>
      </c>
      <c r="W834" s="157">
        <v>100000</v>
      </c>
      <c r="X834" s="157">
        <v>150000</v>
      </c>
      <c r="Y834" s="10">
        <f t="shared" si="14"/>
        <v>1638950</v>
      </c>
    </row>
    <row r="835" spans="1:25" customFormat="1" ht="11.25" customHeight="1">
      <c r="A835" s="261">
        <v>2014</v>
      </c>
      <c r="B835" s="261" t="s">
        <v>574</v>
      </c>
      <c r="C835" s="9" t="s">
        <v>16</v>
      </c>
      <c r="D835" s="9" t="s">
        <v>16</v>
      </c>
      <c r="E835" s="9" t="s">
        <v>20</v>
      </c>
      <c r="F835" s="9" t="s">
        <v>232</v>
      </c>
      <c r="G835" s="9" t="s">
        <v>439</v>
      </c>
      <c r="H835" s="9" t="s">
        <v>20</v>
      </c>
      <c r="I835" s="9" t="s">
        <v>20</v>
      </c>
      <c r="J835" s="9" t="s">
        <v>280</v>
      </c>
      <c r="K835" s="9"/>
      <c r="L835" s="9"/>
      <c r="M835" s="10">
        <v>12500</v>
      </c>
      <c r="N835" s="10">
        <v>12500</v>
      </c>
      <c r="O835" s="10">
        <v>12500</v>
      </c>
      <c r="P835" s="10">
        <v>12500</v>
      </c>
      <c r="Q835" s="10">
        <v>12500</v>
      </c>
      <c r="R835" s="10">
        <v>12500</v>
      </c>
      <c r="S835" s="10">
        <v>12500</v>
      </c>
      <c r="T835" s="10">
        <v>12500</v>
      </c>
      <c r="U835" s="10">
        <v>12500</v>
      </c>
      <c r="V835" s="10">
        <v>12500</v>
      </c>
      <c r="W835" s="10">
        <v>12500</v>
      </c>
      <c r="X835" s="10">
        <v>12500</v>
      </c>
      <c r="Y835" s="10">
        <f t="shared" si="14"/>
        <v>150000</v>
      </c>
    </row>
    <row r="836" spans="1:25" customFormat="1" ht="11.25" customHeight="1">
      <c r="A836" s="261">
        <v>2014</v>
      </c>
      <c r="B836" s="261" t="s">
        <v>574</v>
      </c>
      <c r="C836" s="9" t="s">
        <v>16</v>
      </c>
      <c r="D836" s="9" t="s">
        <v>16</v>
      </c>
      <c r="E836" s="9" t="s">
        <v>20</v>
      </c>
      <c r="F836" s="9" t="s">
        <v>232</v>
      </c>
      <c r="G836" s="9" t="s">
        <v>439</v>
      </c>
      <c r="H836" s="9" t="s">
        <v>20</v>
      </c>
      <c r="I836" s="9" t="s">
        <v>20</v>
      </c>
      <c r="J836" s="9" t="s">
        <v>279</v>
      </c>
      <c r="K836" s="9"/>
      <c r="L836" s="9"/>
      <c r="M836" s="10">
        <v>533200</v>
      </c>
      <c r="N836" s="10">
        <v>550000</v>
      </c>
      <c r="O836" s="157">
        <v>558000</v>
      </c>
      <c r="P836" s="157">
        <v>560000</v>
      </c>
      <c r="Q836" s="157">
        <v>998200</v>
      </c>
      <c r="R836" s="157">
        <v>1000000</v>
      </c>
      <c r="S836" s="157">
        <v>600000</v>
      </c>
      <c r="T836" s="157">
        <v>550000</v>
      </c>
      <c r="U836" s="157">
        <v>500000</v>
      </c>
      <c r="V836" s="157">
        <v>490000</v>
      </c>
      <c r="W836" s="157">
        <v>490000</v>
      </c>
      <c r="X836" s="157">
        <v>490000</v>
      </c>
      <c r="Y836" s="10">
        <f t="shared" si="14"/>
        <v>7319400</v>
      </c>
    </row>
    <row r="837" spans="1:25" customFormat="1" ht="11.25" customHeight="1">
      <c r="A837" s="261">
        <v>2014</v>
      </c>
      <c r="B837" s="261" t="s">
        <v>573</v>
      </c>
      <c r="C837" s="9" t="s">
        <v>16</v>
      </c>
      <c r="D837" s="9" t="s">
        <v>16</v>
      </c>
      <c r="E837" s="9" t="s">
        <v>27</v>
      </c>
      <c r="F837" s="9" t="s">
        <v>232</v>
      </c>
      <c r="G837" s="9" t="s">
        <v>439</v>
      </c>
      <c r="H837" s="9" t="s">
        <v>27</v>
      </c>
      <c r="I837" s="9" t="s">
        <v>27</v>
      </c>
      <c r="J837" s="9" t="s">
        <v>28</v>
      </c>
      <c r="K837" s="9"/>
      <c r="L837" s="9"/>
      <c r="M837" s="10">
        <v>200</v>
      </c>
      <c r="N837" s="10">
        <v>200</v>
      </c>
      <c r="O837" s="10">
        <v>200</v>
      </c>
      <c r="P837" s="10">
        <v>200</v>
      </c>
      <c r="Q837" s="10">
        <v>200</v>
      </c>
      <c r="R837" s="10">
        <v>200</v>
      </c>
      <c r="S837" s="10">
        <v>200</v>
      </c>
      <c r="T837" s="10">
        <v>200</v>
      </c>
      <c r="U837" s="10">
        <v>200</v>
      </c>
      <c r="V837" s="10">
        <v>200</v>
      </c>
      <c r="W837" s="10">
        <v>200</v>
      </c>
      <c r="X837" s="10">
        <v>200</v>
      </c>
      <c r="Y837" s="10">
        <f t="shared" si="14"/>
        <v>2400</v>
      </c>
    </row>
    <row r="838" spans="1:25" customFormat="1" ht="11.25" customHeight="1">
      <c r="A838" s="261">
        <v>2014</v>
      </c>
      <c r="B838" s="261" t="s">
        <v>573</v>
      </c>
      <c r="C838" s="9" t="s">
        <v>16</v>
      </c>
      <c r="D838" s="9" t="s">
        <v>16</v>
      </c>
      <c r="E838" s="9" t="s">
        <v>149</v>
      </c>
      <c r="F838" s="9" t="s">
        <v>232</v>
      </c>
      <c r="G838" s="9" t="s">
        <v>439</v>
      </c>
      <c r="H838" s="9" t="s">
        <v>149</v>
      </c>
      <c r="I838" s="9" t="s">
        <v>149</v>
      </c>
      <c r="J838" s="9" t="s">
        <v>150</v>
      </c>
      <c r="K838" s="9"/>
      <c r="L838" s="9"/>
      <c r="M838" s="10">
        <v>17686.150000000001</v>
      </c>
      <c r="N838" s="10">
        <v>17686.150000000001</v>
      </c>
      <c r="O838" s="10">
        <v>17686.150000000001</v>
      </c>
      <c r="P838" s="10">
        <v>17686.150000000001</v>
      </c>
      <c r="Q838" s="10">
        <v>17686.150000000001</v>
      </c>
      <c r="R838" s="10">
        <v>17686.150000000001</v>
      </c>
      <c r="S838" s="10">
        <v>17686.150000000001</v>
      </c>
      <c r="T838" s="10">
        <v>17686.150000000001</v>
      </c>
      <c r="U838" s="10">
        <v>17686.150000000001</v>
      </c>
      <c r="V838" s="10">
        <v>17686.150000000001</v>
      </c>
      <c r="W838" s="10">
        <v>17686.150000000001</v>
      </c>
      <c r="X838" s="10">
        <v>17686.150000000001</v>
      </c>
      <c r="Y838" s="10">
        <f t="shared" si="14"/>
        <v>212233.79999999996</v>
      </c>
    </row>
    <row r="839" spans="1:25" customFormat="1" ht="11.25" customHeight="1">
      <c r="A839" s="261">
        <v>2014</v>
      </c>
      <c r="B839" s="261" t="s">
        <v>573</v>
      </c>
      <c r="C839" s="9" t="s">
        <v>16</v>
      </c>
      <c r="D839" s="9" t="s">
        <v>16</v>
      </c>
      <c r="E839" s="9" t="s">
        <v>18</v>
      </c>
      <c r="F839" s="9" t="s">
        <v>232</v>
      </c>
      <c r="G839" s="9" t="s">
        <v>439</v>
      </c>
      <c r="H839" s="9" t="s">
        <v>18</v>
      </c>
      <c r="I839" s="9" t="s">
        <v>18</v>
      </c>
      <c r="J839" s="9" t="s">
        <v>91</v>
      </c>
      <c r="K839" s="9"/>
      <c r="L839" s="9"/>
      <c r="M839" s="10"/>
      <c r="N839" s="10"/>
      <c r="O839" s="10"/>
      <c r="P839" s="10"/>
      <c r="Q839" s="10"/>
      <c r="R839" s="10"/>
      <c r="S839" s="10">
        <v>3400</v>
      </c>
      <c r="T839" s="10"/>
      <c r="U839" s="10"/>
      <c r="V839" s="10"/>
      <c r="W839" s="10"/>
      <c r="X839" s="10"/>
      <c r="Y839" s="10">
        <f t="shared" si="14"/>
        <v>3400</v>
      </c>
    </row>
    <row r="840" spans="1:25" customFormat="1" ht="11.25" customHeight="1">
      <c r="A840" s="261">
        <v>2014</v>
      </c>
      <c r="B840" s="261" t="s">
        <v>573</v>
      </c>
      <c r="C840" s="9" t="s">
        <v>16</v>
      </c>
      <c r="D840" s="9" t="s">
        <v>16</v>
      </c>
      <c r="E840" s="9" t="s">
        <v>29</v>
      </c>
      <c r="F840" s="9" t="s">
        <v>232</v>
      </c>
      <c r="G840" s="9" t="s">
        <v>439</v>
      </c>
      <c r="H840" s="9" t="s">
        <v>29</v>
      </c>
      <c r="I840" s="9" t="s">
        <v>29</v>
      </c>
      <c r="J840" s="9" t="s">
        <v>30</v>
      </c>
      <c r="K840" s="9"/>
      <c r="L840" s="9"/>
      <c r="M840" s="10">
        <v>300</v>
      </c>
      <c r="N840" s="10">
        <v>300</v>
      </c>
      <c r="O840" s="10">
        <v>300</v>
      </c>
      <c r="P840" s="10">
        <v>300</v>
      </c>
      <c r="Q840" s="10">
        <v>300</v>
      </c>
      <c r="R840" s="10">
        <v>300</v>
      </c>
      <c r="S840" s="10">
        <v>300</v>
      </c>
      <c r="T840" s="10">
        <v>300</v>
      </c>
      <c r="U840" s="10">
        <v>300</v>
      </c>
      <c r="V840" s="10">
        <v>300</v>
      </c>
      <c r="W840" s="10">
        <v>300</v>
      </c>
      <c r="X840" s="10">
        <v>300</v>
      </c>
      <c r="Y840" s="10">
        <f t="shared" si="14"/>
        <v>3600</v>
      </c>
    </row>
    <row r="841" spans="1:25" customFormat="1" ht="11.25" customHeight="1">
      <c r="A841" s="261">
        <v>2014</v>
      </c>
      <c r="B841" s="261" t="s">
        <v>574</v>
      </c>
      <c r="C841" s="9" t="s">
        <v>16</v>
      </c>
      <c r="D841" s="9" t="s">
        <v>16</v>
      </c>
      <c r="E841" s="9" t="s">
        <v>89</v>
      </c>
      <c r="F841" s="9" t="s">
        <v>232</v>
      </c>
      <c r="G841" s="9" t="s">
        <v>439</v>
      </c>
      <c r="H841" s="9" t="s">
        <v>89</v>
      </c>
      <c r="I841" s="9" t="s">
        <v>205</v>
      </c>
      <c r="J841" s="9" t="s">
        <v>282</v>
      </c>
      <c r="K841" s="9"/>
      <c r="L841" s="9"/>
      <c r="M841" s="10">
        <v>67300</v>
      </c>
      <c r="N841" s="10">
        <v>67300</v>
      </c>
      <c r="O841" s="10">
        <v>91051</v>
      </c>
      <c r="P841" s="10">
        <v>80033</v>
      </c>
      <c r="Q841" s="10">
        <v>80933</v>
      </c>
      <c r="R841" s="10">
        <v>70813</v>
      </c>
      <c r="S841" s="10">
        <v>65535</v>
      </c>
      <c r="T841" s="10">
        <v>57905</v>
      </c>
      <c r="U841" s="10">
        <v>68255</v>
      </c>
      <c r="V841" s="10">
        <v>80600</v>
      </c>
      <c r="W841" s="10">
        <v>80765</v>
      </c>
      <c r="X841" s="10">
        <v>52300</v>
      </c>
      <c r="Y841" s="10">
        <f t="shared" si="14"/>
        <v>862790</v>
      </c>
    </row>
    <row r="842" spans="1:25" customFormat="1" ht="11.25" customHeight="1">
      <c r="A842" s="261">
        <v>2014</v>
      </c>
      <c r="B842" s="261" t="s">
        <v>573</v>
      </c>
      <c r="C842" s="9" t="s">
        <v>16</v>
      </c>
      <c r="D842" s="9" t="s">
        <v>16</v>
      </c>
      <c r="E842" s="9" t="s">
        <v>148</v>
      </c>
      <c r="F842" s="9" t="s">
        <v>165</v>
      </c>
      <c r="G842" s="9" t="s">
        <v>439</v>
      </c>
      <c r="H842" s="9" t="s">
        <v>148</v>
      </c>
      <c r="I842" s="9" t="s">
        <v>148</v>
      </c>
      <c r="J842" s="9" t="s">
        <v>148</v>
      </c>
      <c r="K842" s="9"/>
      <c r="L842" s="9"/>
      <c r="M842" s="10">
        <v>11240</v>
      </c>
      <c r="N842" s="10">
        <v>11240</v>
      </c>
      <c r="O842" s="10">
        <v>11240</v>
      </c>
      <c r="P842" s="10">
        <v>11240</v>
      </c>
      <c r="Q842" s="10">
        <v>11240</v>
      </c>
      <c r="R842" s="10">
        <v>11240</v>
      </c>
      <c r="S842" s="10">
        <v>11240</v>
      </c>
      <c r="T842" s="10">
        <v>11240</v>
      </c>
      <c r="U842" s="10">
        <v>11240</v>
      </c>
      <c r="V842" s="10">
        <v>11240</v>
      </c>
      <c r="W842" s="10">
        <v>11240</v>
      </c>
      <c r="X842" s="10">
        <v>11240</v>
      </c>
      <c r="Y842" s="10">
        <f t="shared" si="14"/>
        <v>134880</v>
      </c>
    </row>
    <row r="843" spans="1:25" customFormat="1" ht="11.25" customHeight="1">
      <c r="A843" s="261">
        <v>2014</v>
      </c>
      <c r="B843" s="261" t="s">
        <v>573</v>
      </c>
      <c r="C843" s="9" t="s">
        <v>16</v>
      </c>
      <c r="D843" s="9" t="s">
        <v>16</v>
      </c>
      <c r="E843" s="9" t="s">
        <v>148</v>
      </c>
      <c r="F843" s="9" t="s">
        <v>165</v>
      </c>
      <c r="G843" s="9" t="s">
        <v>439</v>
      </c>
      <c r="H843" s="9" t="s">
        <v>148</v>
      </c>
      <c r="I843" s="9" t="s">
        <v>148</v>
      </c>
      <c r="J843" s="9" t="s">
        <v>283</v>
      </c>
      <c r="K843" s="9"/>
      <c r="L843" s="9"/>
      <c r="M843" s="10"/>
      <c r="N843" s="10"/>
      <c r="O843" s="10">
        <v>4450</v>
      </c>
      <c r="P843" s="10">
        <v>4475</v>
      </c>
      <c r="Q843" s="10">
        <v>5805</v>
      </c>
      <c r="R843" s="10">
        <v>6205</v>
      </c>
      <c r="S843" s="10">
        <v>5975</v>
      </c>
      <c r="T843" s="10">
        <v>5420</v>
      </c>
      <c r="U843" s="10">
        <v>4800</v>
      </c>
      <c r="V843" s="10">
        <v>4250</v>
      </c>
      <c r="W843" s="10">
        <v>3150</v>
      </c>
      <c r="X843" s="10">
        <v>2930</v>
      </c>
      <c r="Y843" s="10">
        <f t="shared" si="14"/>
        <v>47460</v>
      </c>
    </row>
    <row r="844" spans="1:25" customFormat="1" ht="11.25" customHeight="1">
      <c r="A844" s="261">
        <v>2014</v>
      </c>
      <c r="B844" s="261" t="s">
        <v>573</v>
      </c>
      <c r="C844" s="9" t="s">
        <v>16</v>
      </c>
      <c r="D844" s="9" t="s">
        <v>16</v>
      </c>
      <c r="E844" s="9" t="s">
        <v>27</v>
      </c>
      <c r="F844" s="9" t="s">
        <v>165</v>
      </c>
      <c r="G844" s="9" t="s">
        <v>439</v>
      </c>
      <c r="H844" s="9" t="s">
        <v>27</v>
      </c>
      <c r="I844" s="9" t="s">
        <v>27</v>
      </c>
      <c r="J844" s="9" t="s">
        <v>28</v>
      </c>
      <c r="K844" s="9"/>
      <c r="L844" s="9"/>
      <c r="M844" s="10">
        <v>300</v>
      </c>
      <c r="N844" s="10">
        <v>300</v>
      </c>
      <c r="O844" s="10">
        <v>300</v>
      </c>
      <c r="P844" s="10">
        <v>300</v>
      </c>
      <c r="Q844" s="10">
        <v>300</v>
      </c>
      <c r="R844" s="10">
        <v>300</v>
      </c>
      <c r="S844" s="10">
        <v>300</v>
      </c>
      <c r="T844" s="10">
        <v>300</v>
      </c>
      <c r="U844" s="10">
        <v>300</v>
      </c>
      <c r="V844" s="10">
        <v>300</v>
      </c>
      <c r="W844" s="10">
        <v>300</v>
      </c>
      <c r="X844" s="10">
        <v>300</v>
      </c>
      <c r="Y844" s="10">
        <f t="shared" si="14"/>
        <v>3600</v>
      </c>
    </row>
    <row r="845" spans="1:25" customFormat="1" ht="11.25" customHeight="1">
      <c r="A845" s="261">
        <v>2014</v>
      </c>
      <c r="B845" s="261" t="s">
        <v>573</v>
      </c>
      <c r="C845" s="9" t="s">
        <v>16</v>
      </c>
      <c r="D845" s="9" t="s">
        <v>16</v>
      </c>
      <c r="E845" s="9" t="s">
        <v>57</v>
      </c>
      <c r="F845" s="9" t="s">
        <v>165</v>
      </c>
      <c r="G845" s="9" t="s">
        <v>439</v>
      </c>
      <c r="H845" s="9" t="s">
        <v>57</v>
      </c>
      <c r="I845" s="9" t="s">
        <v>57</v>
      </c>
      <c r="J845" s="9" t="s">
        <v>261</v>
      </c>
      <c r="K845" s="9"/>
      <c r="L845" s="9"/>
      <c r="M845" s="10">
        <v>300</v>
      </c>
      <c r="N845" s="10">
        <v>100</v>
      </c>
      <c r="O845" s="10">
        <v>650</v>
      </c>
      <c r="P845" s="10">
        <v>450</v>
      </c>
      <c r="Q845" s="10">
        <v>300</v>
      </c>
      <c r="R845" s="10">
        <v>300</v>
      </c>
      <c r="S845" s="10">
        <v>300</v>
      </c>
      <c r="T845" s="10">
        <v>700</v>
      </c>
      <c r="U845" s="10">
        <v>300</v>
      </c>
      <c r="V845" s="10">
        <v>250</v>
      </c>
      <c r="W845" s="10">
        <v>300</v>
      </c>
      <c r="X845" s="10">
        <v>100</v>
      </c>
      <c r="Y845" s="10">
        <f t="shared" si="14"/>
        <v>4050</v>
      </c>
    </row>
    <row r="846" spans="1:25" customFormat="1" ht="11.25" customHeight="1">
      <c r="A846" s="261">
        <v>2014</v>
      </c>
      <c r="B846" s="261" t="s">
        <v>573</v>
      </c>
      <c r="C846" s="9" t="s">
        <v>16</v>
      </c>
      <c r="D846" s="9" t="s">
        <v>16</v>
      </c>
      <c r="E846" s="9" t="s">
        <v>149</v>
      </c>
      <c r="F846" s="9" t="s">
        <v>165</v>
      </c>
      <c r="G846" s="9" t="s">
        <v>439</v>
      </c>
      <c r="H846" s="9" t="s">
        <v>149</v>
      </c>
      <c r="I846" s="9" t="s">
        <v>149</v>
      </c>
      <c r="J846" s="9" t="s">
        <v>150</v>
      </c>
      <c r="K846" s="9"/>
      <c r="L846" s="9"/>
      <c r="M846" s="10">
        <v>2308.13</v>
      </c>
      <c r="N846" s="10">
        <v>2308.13</v>
      </c>
      <c r="O846" s="10">
        <v>2308.13</v>
      </c>
      <c r="P846" s="10">
        <v>2308.13</v>
      </c>
      <c r="Q846" s="10">
        <v>2308.13</v>
      </c>
      <c r="R846" s="10">
        <v>2308.13</v>
      </c>
      <c r="S846" s="10">
        <v>2308.13</v>
      </c>
      <c r="T846" s="10">
        <v>2308.13</v>
      </c>
      <c r="U846" s="10">
        <v>2308.13</v>
      </c>
      <c r="V846" s="10">
        <v>2308.13</v>
      </c>
      <c r="W846" s="10">
        <v>2308.13</v>
      </c>
      <c r="X846" s="10">
        <v>2308.13</v>
      </c>
      <c r="Y846" s="10">
        <f t="shared" si="14"/>
        <v>27697.560000000009</v>
      </c>
    </row>
    <row r="847" spans="1:25" customFormat="1" ht="11.25" customHeight="1">
      <c r="A847" s="261">
        <v>2014</v>
      </c>
      <c r="B847" s="261" t="s">
        <v>573</v>
      </c>
      <c r="C847" s="9" t="s">
        <v>16</v>
      </c>
      <c r="D847" s="9" t="s">
        <v>16</v>
      </c>
      <c r="E847" s="9" t="s">
        <v>18</v>
      </c>
      <c r="F847" s="9" t="s">
        <v>165</v>
      </c>
      <c r="G847" s="9" t="s">
        <v>439</v>
      </c>
      <c r="H847" s="9" t="s">
        <v>18</v>
      </c>
      <c r="I847" s="9" t="s">
        <v>18</v>
      </c>
      <c r="J847" s="9" t="s">
        <v>91</v>
      </c>
      <c r="K847" s="9"/>
      <c r="L847" s="9"/>
      <c r="M847" s="10"/>
      <c r="N847" s="10"/>
      <c r="O847" s="10"/>
      <c r="P847" s="10">
        <v>150</v>
      </c>
      <c r="Q847" s="10"/>
      <c r="R847" s="10"/>
      <c r="S847" s="10"/>
      <c r="T847" s="10"/>
      <c r="U847" s="10"/>
      <c r="V847" s="10"/>
      <c r="W847" s="10"/>
      <c r="X847" s="10"/>
      <c r="Y847" s="10">
        <f t="shared" si="14"/>
        <v>150</v>
      </c>
    </row>
    <row r="848" spans="1:25" customFormat="1" ht="11.25" customHeight="1">
      <c r="A848" s="261">
        <v>2014</v>
      </c>
      <c r="B848" s="261" t="s">
        <v>573</v>
      </c>
      <c r="C848" s="9" t="s">
        <v>16</v>
      </c>
      <c r="D848" s="9" t="s">
        <v>16</v>
      </c>
      <c r="E848" s="9" t="s">
        <v>141</v>
      </c>
      <c r="F848" s="9" t="s">
        <v>165</v>
      </c>
      <c r="G848" s="9" t="s">
        <v>439</v>
      </c>
      <c r="H848" s="9" t="s">
        <v>141</v>
      </c>
      <c r="I848" s="9" t="s">
        <v>141</v>
      </c>
      <c r="J848" s="9" t="s">
        <v>141</v>
      </c>
      <c r="K848" s="9"/>
      <c r="L848" s="9"/>
      <c r="M848" s="10">
        <v>1600</v>
      </c>
      <c r="N848" s="10">
        <v>1600</v>
      </c>
      <c r="O848" s="10">
        <v>1600</v>
      </c>
      <c r="P848" s="10">
        <v>1600</v>
      </c>
      <c r="Q848" s="10">
        <v>1600</v>
      </c>
      <c r="R848" s="10">
        <v>1600</v>
      </c>
      <c r="S848" s="10">
        <v>1600</v>
      </c>
      <c r="T848" s="10">
        <v>1600</v>
      </c>
      <c r="U848" s="10">
        <v>1600</v>
      </c>
      <c r="V848" s="10">
        <v>1600</v>
      </c>
      <c r="W848" s="10">
        <v>1600</v>
      </c>
      <c r="X848" s="10">
        <v>1600</v>
      </c>
      <c r="Y848" s="10">
        <f t="shared" si="14"/>
        <v>19200</v>
      </c>
    </row>
    <row r="849" spans="1:25" customFormat="1" ht="11.25" customHeight="1">
      <c r="A849" s="261">
        <v>2014</v>
      </c>
      <c r="B849" s="261" t="s">
        <v>573</v>
      </c>
      <c r="C849" s="9" t="s">
        <v>16</v>
      </c>
      <c r="D849" s="9" t="s">
        <v>16</v>
      </c>
      <c r="E849" s="9" t="s">
        <v>29</v>
      </c>
      <c r="F849" s="9" t="s">
        <v>165</v>
      </c>
      <c r="G849" s="9" t="s">
        <v>439</v>
      </c>
      <c r="H849" s="9" t="s">
        <v>29</v>
      </c>
      <c r="I849" s="9" t="s">
        <v>29</v>
      </c>
      <c r="J849" s="9" t="s">
        <v>31</v>
      </c>
      <c r="K849" s="9"/>
      <c r="L849" s="9"/>
      <c r="M849" s="10">
        <v>300</v>
      </c>
      <c r="N849" s="10">
        <v>300</v>
      </c>
      <c r="O849" s="10">
        <v>300</v>
      </c>
      <c r="P849" s="10">
        <v>300</v>
      </c>
      <c r="Q849" s="10">
        <v>300</v>
      </c>
      <c r="R849" s="10">
        <v>300</v>
      </c>
      <c r="S849" s="10">
        <v>300</v>
      </c>
      <c r="T849" s="10">
        <v>300</v>
      </c>
      <c r="U849" s="10">
        <v>300</v>
      </c>
      <c r="V849" s="10">
        <v>300</v>
      </c>
      <c r="W849" s="10">
        <v>300</v>
      </c>
      <c r="X849" s="10">
        <v>300</v>
      </c>
      <c r="Y849" s="10">
        <f t="shared" si="14"/>
        <v>3600</v>
      </c>
    </row>
    <row r="850" spans="1:25" customFormat="1" ht="11.25" customHeight="1">
      <c r="A850" s="261">
        <v>2014</v>
      </c>
      <c r="B850" s="261" t="s">
        <v>573</v>
      </c>
      <c r="C850" s="9" t="s">
        <v>16</v>
      </c>
      <c r="D850" s="9" t="s">
        <v>16</v>
      </c>
      <c r="E850" s="9" t="s">
        <v>29</v>
      </c>
      <c r="F850" s="9" t="s">
        <v>165</v>
      </c>
      <c r="G850" s="9" t="s">
        <v>439</v>
      </c>
      <c r="H850" s="9" t="s">
        <v>29</v>
      </c>
      <c r="I850" s="9" t="s">
        <v>29</v>
      </c>
      <c r="J850" s="9" t="s">
        <v>30</v>
      </c>
      <c r="K850" s="9"/>
      <c r="L850" s="9"/>
      <c r="M850" s="10">
        <v>50</v>
      </c>
      <c r="N850" s="10">
        <v>250</v>
      </c>
      <c r="O850" s="10">
        <v>300</v>
      </c>
      <c r="P850" s="10">
        <v>50</v>
      </c>
      <c r="Q850" s="10">
        <v>2050</v>
      </c>
      <c r="R850" s="10">
        <v>50</v>
      </c>
      <c r="S850" s="10">
        <v>50</v>
      </c>
      <c r="T850" s="10">
        <v>50</v>
      </c>
      <c r="U850" s="10">
        <v>50</v>
      </c>
      <c r="V850" s="10">
        <v>50</v>
      </c>
      <c r="W850" s="10">
        <v>50</v>
      </c>
      <c r="X850" s="10">
        <v>50</v>
      </c>
      <c r="Y850" s="10">
        <f t="shared" si="14"/>
        <v>3050</v>
      </c>
    </row>
    <row r="851" spans="1:25" customFormat="1" ht="11.25" customHeight="1">
      <c r="A851" s="261">
        <v>2014</v>
      </c>
      <c r="B851" s="261" t="s">
        <v>573</v>
      </c>
      <c r="C851" s="9" t="s">
        <v>16</v>
      </c>
      <c r="D851" s="9" t="s">
        <v>16</v>
      </c>
      <c r="E851" s="9" t="s">
        <v>148</v>
      </c>
      <c r="F851" s="9" t="s">
        <v>156</v>
      </c>
      <c r="G851" s="9" t="s">
        <v>439</v>
      </c>
      <c r="H851" s="9" t="s">
        <v>148</v>
      </c>
      <c r="I851" s="9" t="s">
        <v>148</v>
      </c>
      <c r="J851" s="9" t="s">
        <v>148</v>
      </c>
      <c r="K851" s="9"/>
      <c r="L851" s="9"/>
      <c r="M851" s="10">
        <v>75480</v>
      </c>
      <c r="N851" s="10">
        <v>75480</v>
      </c>
      <c r="O851" s="10">
        <v>75480</v>
      </c>
      <c r="P851" s="10">
        <v>80068</v>
      </c>
      <c r="Q851" s="10">
        <v>80068</v>
      </c>
      <c r="R851" s="10">
        <v>80068</v>
      </c>
      <c r="S851" s="10">
        <v>80068</v>
      </c>
      <c r="T851" s="10">
        <v>80068</v>
      </c>
      <c r="U851" s="10">
        <v>80068</v>
      </c>
      <c r="V851" s="10">
        <v>80068</v>
      </c>
      <c r="W851" s="10">
        <v>80068</v>
      </c>
      <c r="X851" s="10">
        <v>80068</v>
      </c>
      <c r="Y851" s="10">
        <f t="shared" si="14"/>
        <v>947052</v>
      </c>
    </row>
    <row r="852" spans="1:25" customFormat="1" ht="11.25" customHeight="1">
      <c r="A852" s="261">
        <v>2014</v>
      </c>
      <c r="B852" s="261" t="s">
        <v>573</v>
      </c>
      <c r="C852" s="9" t="s">
        <v>16</v>
      </c>
      <c r="D852" s="9" t="s">
        <v>16</v>
      </c>
      <c r="E852" s="9" t="s">
        <v>27</v>
      </c>
      <c r="F852" s="9" t="s">
        <v>156</v>
      </c>
      <c r="G852" s="9" t="s">
        <v>439</v>
      </c>
      <c r="H852" s="9" t="s">
        <v>27</v>
      </c>
      <c r="I852" s="9" t="s">
        <v>27</v>
      </c>
      <c r="J852" s="9" t="s">
        <v>28</v>
      </c>
      <c r="K852" s="9"/>
      <c r="L852" s="9"/>
      <c r="M852" s="10">
        <v>100</v>
      </c>
      <c r="N852" s="10">
        <v>100</v>
      </c>
      <c r="O852" s="10">
        <v>100</v>
      </c>
      <c r="P852" s="10">
        <v>100</v>
      </c>
      <c r="Q852" s="10">
        <v>100</v>
      </c>
      <c r="R852" s="10">
        <v>100</v>
      </c>
      <c r="S852" s="10">
        <v>100</v>
      </c>
      <c r="T852" s="10">
        <v>100</v>
      </c>
      <c r="U852" s="10">
        <v>100</v>
      </c>
      <c r="V852" s="10">
        <v>100</v>
      </c>
      <c r="W852" s="10">
        <v>100</v>
      </c>
      <c r="X852" s="10">
        <v>100</v>
      </c>
      <c r="Y852" s="10">
        <f t="shared" si="14"/>
        <v>1200</v>
      </c>
    </row>
    <row r="853" spans="1:25" customFormat="1" ht="11.25" customHeight="1">
      <c r="A853" s="261">
        <v>2014</v>
      </c>
      <c r="B853" s="261" t="s">
        <v>573</v>
      </c>
      <c r="C853" s="9" t="s">
        <v>16</v>
      </c>
      <c r="D853" s="9" t="s">
        <v>16</v>
      </c>
      <c r="E853" s="9" t="s">
        <v>149</v>
      </c>
      <c r="F853" s="9" t="s">
        <v>156</v>
      </c>
      <c r="G853" s="9" t="s">
        <v>439</v>
      </c>
      <c r="H853" s="9" t="s">
        <v>149</v>
      </c>
      <c r="I853" s="9" t="s">
        <v>149</v>
      </c>
      <c r="J853" s="9" t="s">
        <v>150</v>
      </c>
      <c r="K853" s="9"/>
      <c r="L853" s="9"/>
      <c r="M853" s="10">
        <v>18015.939999999999</v>
      </c>
      <c r="N853" s="10">
        <v>18015.939999999999</v>
      </c>
      <c r="O853" s="10">
        <v>18015.939999999999</v>
      </c>
      <c r="P853" s="10">
        <v>18610.82</v>
      </c>
      <c r="Q853" s="10">
        <v>18610.82</v>
      </c>
      <c r="R853" s="10">
        <v>18610.82</v>
      </c>
      <c r="S853" s="10">
        <v>18610.82</v>
      </c>
      <c r="T853" s="10">
        <v>18610.82</v>
      </c>
      <c r="U853" s="10">
        <v>18610.82</v>
      </c>
      <c r="V853" s="10">
        <v>18610.82</v>
      </c>
      <c r="W853" s="10">
        <v>18610.82</v>
      </c>
      <c r="X853" s="10">
        <v>18610.82</v>
      </c>
      <c r="Y853" s="10">
        <f t="shared" si="14"/>
        <v>221545.20000000004</v>
      </c>
    </row>
    <row r="854" spans="1:25" customFormat="1" ht="11.25" customHeight="1">
      <c r="A854" s="261">
        <v>2014</v>
      </c>
      <c r="B854" s="261" t="s">
        <v>573</v>
      </c>
      <c r="C854" s="9" t="s">
        <v>16</v>
      </c>
      <c r="D854" s="9" t="s">
        <v>16</v>
      </c>
      <c r="E854" s="9" t="s">
        <v>18</v>
      </c>
      <c r="F854" s="9" t="s">
        <v>156</v>
      </c>
      <c r="G854" s="9" t="s">
        <v>439</v>
      </c>
      <c r="H854" s="9" t="s">
        <v>18</v>
      </c>
      <c r="I854" s="9" t="s">
        <v>18</v>
      </c>
      <c r="J854" s="9" t="s">
        <v>91</v>
      </c>
      <c r="K854" s="9" t="s">
        <v>397</v>
      </c>
      <c r="L854" s="9"/>
      <c r="M854" s="10">
        <v>400</v>
      </c>
      <c r="N854" s="10">
        <v>2000</v>
      </c>
      <c r="O854" s="10">
        <v>200</v>
      </c>
      <c r="P854" s="10">
        <v>200</v>
      </c>
      <c r="Q854" s="10">
        <v>5500</v>
      </c>
      <c r="R854" s="10">
        <v>200</v>
      </c>
      <c r="S854" s="10">
        <v>200</v>
      </c>
      <c r="T854" s="10">
        <v>200</v>
      </c>
      <c r="U854" s="10">
        <v>200</v>
      </c>
      <c r="V854" s="10">
        <v>200</v>
      </c>
      <c r="W854" s="10">
        <v>200</v>
      </c>
      <c r="X854" s="10">
        <v>200</v>
      </c>
      <c r="Y854" s="10">
        <f t="shared" si="14"/>
        <v>9700</v>
      </c>
    </row>
    <row r="855" spans="1:25" customFormat="1" ht="11.25" customHeight="1">
      <c r="A855" s="261">
        <v>2014</v>
      </c>
      <c r="B855" s="261" t="s">
        <v>573</v>
      </c>
      <c r="C855" s="9" t="s">
        <v>16</v>
      </c>
      <c r="D855" s="9" t="s">
        <v>16</v>
      </c>
      <c r="E855" s="9" t="s">
        <v>29</v>
      </c>
      <c r="F855" s="9" t="s">
        <v>156</v>
      </c>
      <c r="G855" s="9" t="s">
        <v>439</v>
      </c>
      <c r="H855" s="9" t="s">
        <v>29</v>
      </c>
      <c r="I855" s="9" t="s">
        <v>29</v>
      </c>
      <c r="J855" s="9" t="s">
        <v>30</v>
      </c>
      <c r="K855" s="9"/>
      <c r="L855" s="9"/>
      <c r="M855" s="10">
        <v>150</v>
      </c>
      <c r="N855" s="10">
        <v>150</v>
      </c>
      <c r="O855" s="10">
        <v>150</v>
      </c>
      <c r="P855" s="10">
        <v>150</v>
      </c>
      <c r="Q855" s="10">
        <v>150</v>
      </c>
      <c r="R855" s="10">
        <v>150</v>
      </c>
      <c r="S855" s="10">
        <v>150</v>
      </c>
      <c r="T855" s="10">
        <v>150</v>
      </c>
      <c r="U855" s="10">
        <v>150</v>
      </c>
      <c r="V855" s="10">
        <v>150</v>
      </c>
      <c r="W855" s="10">
        <v>150</v>
      </c>
      <c r="X855" s="10">
        <v>150</v>
      </c>
      <c r="Y855" s="10">
        <f t="shared" si="14"/>
        <v>1800</v>
      </c>
    </row>
    <row r="856" spans="1:25" customFormat="1" ht="11.25" customHeight="1">
      <c r="A856" s="261">
        <v>2014</v>
      </c>
      <c r="B856" s="261" t="s">
        <v>574</v>
      </c>
      <c r="C856" s="9" t="s">
        <v>16</v>
      </c>
      <c r="D856" s="9" t="s">
        <v>16</v>
      </c>
      <c r="E856" s="9" t="s">
        <v>89</v>
      </c>
      <c r="F856" s="9" t="s">
        <v>156</v>
      </c>
      <c r="G856" s="9" t="s">
        <v>439</v>
      </c>
      <c r="H856" s="9" t="s">
        <v>89</v>
      </c>
      <c r="I856" s="9" t="s">
        <v>205</v>
      </c>
      <c r="J856" s="9" t="s">
        <v>206</v>
      </c>
      <c r="K856" s="9"/>
      <c r="L856" s="9"/>
      <c r="M856" s="10">
        <v>46900</v>
      </c>
      <c r="N856" s="10">
        <v>40000</v>
      </c>
      <c r="O856" s="10">
        <v>56900</v>
      </c>
      <c r="P856" s="10">
        <v>60000</v>
      </c>
      <c r="Q856" s="10">
        <v>56900</v>
      </c>
      <c r="R856" s="10">
        <v>60000</v>
      </c>
      <c r="S856" s="10">
        <v>66900</v>
      </c>
      <c r="T856" s="10">
        <v>60000</v>
      </c>
      <c r="U856" s="10">
        <v>66900</v>
      </c>
      <c r="V856" s="10">
        <v>60000</v>
      </c>
      <c r="W856" s="10">
        <v>61900</v>
      </c>
      <c r="X856" s="10">
        <v>50000</v>
      </c>
      <c r="Y856" s="10">
        <f t="shared" si="14"/>
        <v>686400</v>
      </c>
    </row>
    <row r="857" spans="1:25" customFormat="1" ht="11.25" customHeight="1">
      <c r="A857" s="261">
        <v>2014</v>
      </c>
      <c r="B857" s="261" t="s">
        <v>573</v>
      </c>
      <c r="C857" s="9" t="s">
        <v>16</v>
      </c>
      <c r="D857" s="9" t="s">
        <v>16</v>
      </c>
      <c r="E857" s="9" t="s">
        <v>148</v>
      </c>
      <c r="F857" s="9" t="s">
        <v>204</v>
      </c>
      <c r="G857" s="9" t="s">
        <v>439</v>
      </c>
      <c r="H857" s="9" t="s">
        <v>148</v>
      </c>
      <c r="I857" s="9" t="s">
        <v>148</v>
      </c>
      <c r="J857" s="9" t="s">
        <v>148</v>
      </c>
      <c r="K857" s="9"/>
      <c r="L857" s="9"/>
      <c r="M857" s="10">
        <v>57276</v>
      </c>
      <c r="N857" s="10">
        <v>57276</v>
      </c>
      <c r="O857" s="10">
        <v>57276</v>
      </c>
      <c r="P857" s="10">
        <v>65564</v>
      </c>
      <c r="Q857" s="10">
        <v>65564</v>
      </c>
      <c r="R857" s="10">
        <v>65564</v>
      </c>
      <c r="S857" s="10">
        <v>65564</v>
      </c>
      <c r="T857" s="10">
        <v>65564</v>
      </c>
      <c r="U857" s="10">
        <v>65564</v>
      </c>
      <c r="V857" s="10">
        <v>65564</v>
      </c>
      <c r="W857" s="10">
        <v>65564</v>
      </c>
      <c r="X857" s="10">
        <v>65564</v>
      </c>
      <c r="Y857" s="10">
        <f t="shared" si="14"/>
        <v>761904</v>
      </c>
    </row>
    <row r="858" spans="1:25" customFormat="1" ht="11.25" customHeight="1">
      <c r="A858" s="261">
        <v>2014</v>
      </c>
      <c r="B858" s="261" t="s">
        <v>573</v>
      </c>
      <c r="C858" s="9" t="s">
        <v>16</v>
      </c>
      <c r="D858" s="9" t="s">
        <v>16</v>
      </c>
      <c r="E858" s="9" t="s">
        <v>27</v>
      </c>
      <c r="F858" s="9" t="s">
        <v>204</v>
      </c>
      <c r="G858" s="9" t="s">
        <v>439</v>
      </c>
      <c r="H858" s="9" t="s">
        <v>27</v>
      </c>
      <c r="I858" s="9" t="s">
        <v>27</v>
      </c>
      <c r="J858" s="9" t="s">
        <v>28</v>
      </c>
      <c r="K858" s="9"/>
      <c r="L858" s="9"/>
      <c r="M858" s="10">
        <v>100</v>
      </c>
      <c r="N858" s="10">
        <v>100</v>
      </c>
      <c r="O858" s="10">
        <v>100</v>
      </c>
      <c r="P858" s="10">
        <v>100</v>
      </c>
      <c r="Q858" s="10">
        <v>100</v>
      </c>
      <c r="R858" s="10">
        <v>100</v>
      </c>
      <c r="S858" s="10">
        <v>100</v>
      </c>
      <c r="T858" s="10">
        <v>100</v>
      </c>
      <c r="U858" s="10">
        <v>100</v>
      </c>
      <c r="V858" s="10">
        <v>100</v>
      </c>
      <c r="W858" s="10">
        <v>100</v>
      </c>
      <c r="X858" s="10">
        <v>100</v>
      </c>
      <c r="Y858" s="10">
        <f t="shared" si="14"/>
        <v>1200</v>
      </c>
    </row>
    <row r="859" spans="1:25" customFormat="1" ht="11.25" customHeight="1">
      <c r="A859" s="261">
        <v>2014</v>
      </c>
      <c r="B859" s="261" t="s">
        <v>573</v>
      </c>
      <c r="C859" s="9" t="s">
        <v>16</v>
      </c>
      <c r="D859" s="9" t="s">
        <v>16</v>
      </c>
      <c r="E859" s="9" t="s">
        <v>149</v>
      </c>
      <c r="F859" s="9" t="s">
        <v>204</v>
      </c>
      <c r="G859" s="9" t="s">
        <v>439</v>
      </c>
      <c r="H859" s="9" t="s">
        <v>149</v>
      </c>
      <c r="I859" s="9" t="s">
        <v>149</v>
      </c>
      <c r="J859" s="9" t="s">
        <v>150</v>
      </c>
      <c r="K859" s="9"/>
      <c r="L859" s="9"/>
      <c r="M859" s="10">
        <v>14315.79</v>
      </c>
      <c r="N859" s="10">
        <v>14315.79</v>
      </c>
      <c r="O859" s="10">
        <v>14315.79</v>
      </c>
      <c r="P859" s="10">
        <v>16489.330000000002</v>
      </c>
      <c r="Q859" s="10">
        <v>16489.330000000002</v>
      </c>
      <c r="R859" s="10">
        <v>16489.330000000002</v>
      </c>
      <c r="S859" s="10">
        <v>16489.330000000002</v>
      </c>
      <c r="T859" s="10">
        <v>16489.330000000002</v>
      </c>
      <c r="U859" s="10">
        <v>16489.330000000002</v>
      </c>
      <c r="V859" s="10">
        <v>16489.330000000002</v>
      </c>
      <c r="W859" s="10">
        <v>16489.330000000002</v>
      </c>
      <c r="X859" s="10">
        <v>16489.330000000002</v>
      </c>
      <c r="Y859" s="10">
        <f t="shared" si="14"/>
        <v>191351.34000000003</v>
      </c>
    </row>
    <row r="860" spans="1:25" customFormat="1" ht="11.25" customHeight="1">
      <c r="A860" s="261">
        <v>2014</v>
      </c>
      <c r="B860" s="261" t="s">
        <v>573</v>
      </c>
      <c r="C860" s="9" t="s">
        <v>16</v>
      </c>
      <c r="D860" s="9" t="s">
        <v>16</v>
      </c>
      <c r="E860" s="9" t="s">
        <v>18</v>
      </c>
      <c r="F860" s="9" t="s">
        <v>204</v>
      </c>
      <c r="G860" s="9" t="s">
        <v>439</v>
      </c>
      <c r="H860" s="9" t="s">
        <v>18</v>
      </c>
      <c r="I860" s="9" t="s">
        <v>18</v>
      </c>
      <c r="J860" s="9" t="s">
        <v>91</v>
      </c>
      <c r="K860" s="9"/>
      <c r="L860" s="9"/>
      <c r="M860" s="10">
        <v>400</v>
      </c>
      <c r="N860" s="10">
        <v>180</v>
      </c>
      <c r="O860" s="10">
        <v>150</v>
      </c>
      <c r="P860" s="10">
        <v>150</v>
      </c>
      <c r="Q860" s="10">
        <v>5500</v>
      </c>
      <c r="R860" s="10">
        <v>150</v>
      </c>
      <c r="S860" s="10">
        <v>150</v>
      </c>
      <c r="T860" s="10">
        <v>150</v>
      </c>
      <c r="U860" s="10">
        <v>150</v>
      </c>
      <c r="V860" s="10">
        <v>150</v>
      </c>
      <c r="W860" s="10">
        <v>150</v>
      </c>
      <c r="X860" s="10">
        <v>150</v>
      </c>
      <c r="Y860" s="10">
        <f t="shared" si="14"/>
        <v>7430</v>
      </c>
    </row>
    <row r="861" spans="1:25" customFormat="1" ht="11.25" customHeight="1">
      <c r="A861" s="261">
        <v>2014</v>
      </c>
      <c r="B861" s="261" t="s">
        <v>573</v>
      </c>
      <c r="C861" s="9" t="s">
        <v>16</v>
      </c>
      <c r="D861" s="9" t="s">
        <v>16</v>
      </c>
      <c r="E861" s="9" t="s">
        <v>29</v>
      </c>
      <c r="F861" s="9" t="s">
        <v>204</v>
      </c>
      <c r="G861" s="9" t="s">
        <v>439</v>
      </c>
      <c r="H861" s="9" t="s">
        <v>29</v>
      </c>
      <c r="I861" s="9" t="s">
        <v>29</v>
      </c>
      <c r="J861" s="9" t="s">
        <v>30</v>
      </c>
      <c r="K861" s="9"/>
      <c r="L861" s="9"/>
      <c r="M861" s="10">
        <v>100</v>
      </c>
      <c r="N861" s="10">
        <v>100</v>
      </c>
      <c r="O861" s="10">
        <v>100</v>
      </c>
      <c r="P861" s="10">
        <v>100</v>
      </c>
      <c r="Q861" s="10">
        <v>100</v>
      </c>
      <c r="R861" s="10">
        <v>100</v>
      </c>
      <c r="S861" s="10">
        <v>100</v>
      </c>
      <c r="T861" s="10">
        <v>100</v>
      </c>
      <c r="U861" s="10">
        <v>100</v>
      </c>
      <c r="V861" s="10">
        <v>100</v>
      </c>
      <c r="W861" s="10">
        <v>100</v>
      </c>
      <c r="X861" s="10">
        <v>100</v>
      </c>
      <c r="Y861" s="10">
        <f t="shared" si="14"/>
        <v>1200</v>
      </c>
    </row>
    <row r="862" spans="1:25" customFormat="1" ht="11.25" customHeight="1">
      <c r="A862" s="261">
        <v>2014</v>
      </c>
      <c r="B862" s="261" t="s">
        <v>574</v>
      </c>
      <c r="C862" s="9" t="s">
        <v>16</v>
      </c>
      <c r="D862" s="9" t="s">
        <v>16</v>
      </c>
      <c r="E862" s="9" t="s">
        <v>89</v>
      </c>
      <c r="F862" s="9" t="s">
        <v>204</v>
      </c>
      <c r="G862" s="9" t="s">
        <v>439</v>
      </c>
      <c r="H862" s="9" t="s">
        <v>89</v>
      </c>
      <c r="I862" s="9" t="s">
        <v>205</v>
      </c>
      <c r="J862" s="9" t="s">
        <v>206</v>
      </c>
      <c r="K862" s="9"/>
      <c r="L862" s="9"/>
      <c r="M862" s="10">
        <v>81000</v>
      </c>
      <c r="N862" s="10">
        <v>80000</v>
      </c>
      <c r="O862" s="10">
        <v>31000</v>
      </c>
      <c r="P862" s="10">
        <v>40000</v>
      </c>
      <c r="Q862" s="10">
        <v>63900</v>
      </c>
      <c r="R862" s="10">
        <v>63900</v>
      </c>
      <c r="S862" s="10">
        <v>63900</v>
      </c>
      <c r="T862" s="10">
        <v>63900</v>
      </c>
      <c r="U862" s="10">
        <v>63900</v>
      </c>
      <c r="V862" s="10">
        <v>60000</v>
      </c>
      <c r="W862" s="10">
        <v>71000</v>
      </c>
      <c r="X862" s="10">
        <v>80000</v>
      </c>
      <c r="Y862" s="10">
        <f t="shared" si="14"/>
        <v>762500</v>
      </c>
    </row>
    <row r="863" spans="1:25" customFormat="1" ht="11.25" customHeight="1">
      <c r="A863" s="261">
        <v>2014</v>
      </c>
      <c r="B863" s="261" t="s">
        <v>573</v>
      </c>
      <c r="C863" s="9" t="s">
        <v>16</v>
      </c>
      <c r="D863" s="9" t="s">
        <v>16</v>
      </c>
      <c r="E863" s="9" t="s">
        <v>148</v>
      </c>
      <c r="F863" s="9" t="s">
        <v>259</v>
      </c>
      <c r="G863" s="9" t="s">
        <v>439</v>
      </c>
      <c r="H863" s="9" t="s">
        <v>148</v>
      </c>
      <c r="I863" s="9" t="s">
        <v>148</v>
      </c>
      <c r="J863" s="9" t="s">
        <v>148</v>
      </c>
      <c r="K863" s="9"/>
      <c r="L863" s="9"/>
      <c r="M863" s="10">
        <v>59641</v>
      </c>
      <c r="N863" s="10">
        <v>59641</v>
      </c>
      <c r="O863" s="10">
        <v>59641</v>
      </c>
      <c r="P863" s="10">
        <v>59641</v>
      </c>
      <c r="Q863" s="10">
        <v>59641</v>
      </c>
      <c r="R863" s="10">
        <v>59641</v>
      </c>
      <c r="S863" s="10">
        <v>59641</v>
      </c>
      <c r="T863" s="10">
        <v>59641</v>
      </c>
      <c r="U863" s="10">
        <v>59641</v>
      </c>
      <c r="V863" s="10">
        <v>59641</v>
      </c>
      <c r="W863" s="10">
        <v>59641</v>
      </c>
      <c r="X863" s="10">
        <v>59641</v>
      </c>
      <c r="Y863" s="10">
        <f t="shared" si="14"/>
        <v>715692</v>
      </c>
    </row>
    <row r="864" spans="1:25" customFormat="1" ht="11.25" customHeight="1">
      <c r="A864" s="261">
        <v>2014</v>
      </c>
      <c r="B864" s="261" t="s">
        <v>573</v>
      </c>
      <c r="C864" s="9" t="s">
        <v>16</v>
      </c>
      <c r="D864" s="9" t="s">
        <v>16</v>
      </c>
      <c r="E864" s="9" t="s">
        <v>27</v>
      </c>
      <c r="F864" s="9" t="s">
        <v>259</v>
      </c>
      <c r="G864" s="9" t="s">
        <v>439</v>
      </c>
      <c r="H864" s="9" t="s">
        <v>27</v>
      </c>
      <c r="I864" s="9" t="s">
        <v>27</v>
      </c>
      <c r="J864" s="9" t="s">
        <v>28</v>
      </c>
      <c r="K864" s="9"/>
      <c r="L864" s="9"/>
      <c r="M864" s="10">
        <v>100</v>
      </c>
      <c r="N864" s="10">
        <v>100</v>
      </c>
      <c r="O864" s="10">
        <v>150</v>
      </c>
      <c r="P864" s="10">
        <v>150</v>
      </c>
      <c r="Q864" s="10">
        <v>150</v>
      </c>
      <c r="R864" s="10">
        <v>150</v>
      </c>
      <c r="S864" s="10">
        <v>150</v>
      </c>
      <c r="T864" s="10">
        <v>150</v>
      </c>
      <c r="U864" s="10">
        <v>150</v>
      </c>
      <c r="V864" s="10">
        <v>150</v>
      </c>
      <c r="W864" s="10">
        <v>150</v>
      </c>
      <c r="X864" s="10">
        <v>150</v>
      </c>
      <c r="Y864" s="10">
        <f t="shared" si="14"/>
        <v>1700</v>
      </c>
    </row>
    <row r="865" spans="1:25" customFormat="1" ht="11.25" customHeight="1">
      <c r="A865" s="261">
        <v>2014</v>
      </c>
      <c r="B865" s="261" t="s">
        <v>573</v>
      </c>
      <c r="C865" s="9" t="s">
        <v>16</v>
      </c>
      <c r="D865" s="9" t="s">
        <v>16</v>
      </c>
      <c r="E865" s="9" t="s">
        <v>149</v>
      </c>
      <c r="F865" s="9" t="s">
        <v>259</v>
      </c>
      <c r="G865" s="9" t="s">
        <v>439</v>
      </c>
      <c r="H865" s="9" t="s">
        <v>149</v>
      </c>
      <c r="I865" s="9" t="s">
        <v>149</v>
      </c>
      <c r="J865" s="9" t="s">
        <v>150</v>
      </c>
      <c r="K865" s="9"/>
      <c r="L865" s="9"/>
      <c r="M865" s="10">
        <v>11867.48</v>
      </c>
      <c r="N865" s="10">
        <v>11867.48</v>
      </c>
      <c r="O865" s="10">
        <v>11867.48</v>
      </c>
      <c r="P865" s="10">
        <v>11867.48</v>
      </c>
      <c r="Q865" s="10">
        <v>11867.48</v>
      </c>
      <c r="R865" s="10">
        <v>11867.48</v>
      </c>
      <c r="S865" s="10">
        <v>11867.48</v>
      </c>
      <c r="T865" s="10">
        <v>11867.48</v>
      </c>
      <c r="U865" s="10">
        <v>11867.48</v>
      </c>
      <c r="V865" s="10">
        <v>11867.48</v>
      </c>
      <c r="W865" s="10">
        <v>11867.48</v>
      </c>
      <c r="X865" s="10">
        <v>11867.48</v>
      </c>
      <c r="Y865" s="10">
        <f t="shared" si="14"/>
        <v>142409.75999999998</v>
      </c>
    </row>
    <row r="866" spans="1:25" customFormat="1" ht="11.25" customHeight="1">
      <c r="A866" s="261">
        <v>2014</v>
      </c>
      <c r="B866" s="261" t="s">
        <v>573</v>
      </c>
      <c r="C866" s="9" t="s">
        <v>16</v>
      </c>
      <c r="D866" s="9" t="s">
        <v>16</v>
      </c>
      <c r="E866" s="9" t="s">
        <v>29</v>
      </c>
      <c r="F866" s="9" t="s">
        <v>259</v>
      </c>
      <c r="G866" s="9" t="s">
        <v>439</v>
      </c>
      <c r="H866" s="9" t="s">
        <v>29</v>
      </c>
      <c r="I866" s="9" t="s">
        <v>29</v>
      </c>
      <c r="J866" s="9" t="s">
        <v>30</v>
      </c>
      <c r="K866" s="9"/>
      <c r="L866" s="9"/>
      <c r="M866" s="10">
        <v>150</v>
      </c>
      <c r="N866" s="10">
        <v>150</v>
      </c>
      <c r="O866" s="10">
        <v>300</v>
      </c>
      <c r="P866" s="10">
        <v>300</v>
      </c>
      <c r="Q866" s="10">
        <v>300</v>
      </c>
      <c r="R866" s="10">
        <v>300</v>
      </c>
      <c r="S866" s="10">
        <v>300</v>
      </c>
      <c r="T866" s="10">
        <v>300</v>
      </c>
      <c r="U866" s="10">
        <v>300</v>
      </c>
      <c r="V866" s="10">
        <v>300</v>
      </c>
      <c r="W866" s="10">
        <v>300</v>
      </c>
      <c r="X866" s="10">
        <v>300</v>
      </c>
      <c r="Y866" s="10">
        <f t="shared" si="14"/>
        <v>3300</v>
      </c>
    </row>
    <row r="867" spans="1:25" customFormat="1" ht="11.25" customHeight="1">
      <c r="A867" s="261">
        <v>2014</v>
      </c>
      <c r="B867" s="261" t="s">
        <v>574</v>
      </c>
      <c r="C867" s="9" t="s">
        <v>16</v>
      </c>
      <c r="D867" s="9" t="s">
        <v>16</v>
      </c>
      <c r="E867" s="9" t="s">
        <v>89</v>
      </c>
      <c r="F867" s="9" t="s">
        <v>259</v>
      </c>
      <c r="G867" s="9" t="s">
        <v>439</v>
      </c>
      <c r="H867" s="9" t="s">
        <v>89</v>
      </c>
      <c r="I867" s="9" t="s">
        <v>205</v>
      </c>
      <c r="J867" s="9" t="s">
        <v>274</v>
      </c>
      <c r="K867" s="9"/>
      <c r="L867" s="9"/>
      <c r="M867" s="10">
        <v>12000</v>
      </c>
      <c r="N867" s="10">
        <v>8000</v>
      </c>
      <c r="O867" s="10">
        <v>27000</v>
      </c>
      <c r="P867" s="10">
        <v>21000</v>
      </c>
      <c r="Q867" s="10">
        <v>20000</v>
      </c>
      <c r="R867" s="10">
        <v>24000</v>
      </c>
      <c r="S867" s="10">
        <v>24000</v>
      </c>
      <c r="T867" s="10">
        <v>20000</v>
      </c>
      <c r="U867" s="10">
        <v>11000</v>
      </c>
      <c r="V867" s="10">
        <v>11000</v>
      </c>
      <c r="W867" s="10">
        <v>11000</v>
      </c>
      <c r="X867" s="10">
        <v>11000</v>
      </c>
      <c r="Y867" s="10">
        <f t="shared" ref="Y867:Y908" si="15">SUM(M867:X867)</f>
        <v>200000</v>
      </c>
    </row>
    <row r="868" spans="1:25" customFormat="1" ht="11.25" customHeight="1">
      <c r="A868" s="261">
        <v>2014</v>
      </c>
      <c r="B868" s="261" t="s">
        <v>574</v>
      </c>
      <c r="C868" s="9" t="s">
        <v>16</v>
      </c>
      <c r="D868" s="9" t="s">
        <v>16</v>
      </c>
      <c r="E868" s="9" t="s">
        <v>89</v>
      </c>
      <c r="F868" s="9" t="s">
        <v>259</v>
      </c>
      <c r="G868" s="9" t="s">
        <v>439</v>
      </c>
      <c r="H868" s="9" t="s">
        <v>89</v>
      </c>
      <c r="I868" s="9" t="s">
        <v>210</v>
      </c>
      <c r="J868" s="9" t="s">
        <v>211</v>
      </c>
      <c r="K868" s="9"/>
      <c r="L868" s="9"/>
      <c r="M868" s="10">
        <v>10000</v>
      </c>
      <c r="N868" s="10">
        <v>10000</v>
      </c>
      <c r="O868" s="10">
        <v>10000</v>
      </c>
      <c r="P868" s="10">
        <v>12000</v>
      </c>
      <c r="Q868" s="10">
        <v>8000</v>
      </c>
      <c r="R868" s="10">
        <v>8000</v>
      </c>
      <c r="S868" s="10">
        <v>4000</v>
      </c>
      <c r="T868" s="10">
        <v>4000</v>
      </c>
      <c r="U868" s="10">
        <v>5000</v>
      </c>
      <c r="V868" s="10">
        <v>10000</v>
      </c>
      <c r="W868" s="10">
        <v>10000</v>
      </c>
      <c r="X868" s="10">
        <v>10000</v>
      </c>
      <c r="Y868" s="10">
        <f t="shared" si="15"/>
        <v>101000</v>
      </c>
    </row>
    <row r="869" spans="1:25" customFormat="1" ht="11.25" customHeight="1">
      <c r="A869" s="261">
        <v>2014</v>
      </c>
      <c r="B869" s="261" t="s">
        <v>573</v>
      </c>
      <c r="C869" s="9" t="s">
        <v>16</v>
      </c>
      <c r="D869" s="9" t="s">
        <v>16</v>
      </c>
      <c r="E869" s="9" t="s">
        <v>148</v>
      </c>
      <c r="F869" s="9" t="s">
        <v>88</v>
      </c>
      <c r="G869" s="9" t="s">
        <v>439</v>
      </c>
      <c r="H869" s="9" t="s">
        <v>148</v>
      </c>
      <c r="I869" s="9" t="s">
        <v>148</v>
      </c>
      <c r="J869" s="9" t="s">
        <v>148</v>
      </c>
      <c r="K869" s="9"/>
      <c r="L869" s="9"/>
      <c r="M869" s="10">
        <v>35794</v>
      </c>
      <c r="N869" s="10">
        <v>35794</v>
      </c>
      <c r="O869" s="10">
        <v>35794</v>
      </c>
      <c r="P869" s="10">
        <v>35794</v>
      </c>
      <c r="Q869" s="10">
        <v>35794</v>
      </c>
      <c r="R869" s="10">
        <v>35794</v>
      </c>
      <c r="S869" s="10">
        <v>35794</v>
      </c>
      <c r="T869" s="10">
        <v>35794</v>
      </c>
      <c r="U869" s="10">
        <v>35794</v>
      </c>
      <c r="V869" s="10">
        <v>35794</v>
      </c>
      <c r="W869" s="10">
        <v>35794</v>
      </c>
      <c r="X869" s="10">
        <v>35794</v>
      </c>
      <c r="Y869" s="10">
        <f t="shared" si="15"/>
        <v>429528</v>
      </c>
    </row>
    <row r="870" spans="1:25" customFormat="1" ht="11.25" customHeight="1">
      <c r="A870" s="261">
        <v>2014</v>
      </c>
      <c r="B870" s="261" t="s">
        <v>573</v>
      </c>
      <c r="C870" s="9" t="s">
        <v>16</v>
      </c>
      <c r="D870" s="9" t="s">
        <v>16</v>
      </c>
      <c r="E870" s="9" t="s">
        <v>27</v>
      </c>
      <c r="F870" s="9" t="s">
        <v>88</v>
      </c>
      <c r="G870" s="9" t="s">
        <v>439</v>
      </c>
      <c r="H870" s="9" t="s">
        <v>27</v>
      </c>
      <c r="I870" s="9" t="s">
        <v>27</v>
      </c>
      <c r="J870" s="9" t="s">
        <v>28</v>
      </c>
      <c r="K870" s="9"/>
      <c r="L870" s="9"/>
      <c r="M870" s="10">
        <v>50</v>
      </c>
      <c r="N870" s="10">
        <v>50</v>
      </c>
      <c r="O870" s="10">
        <v>50</v>
      </c>
      <c r="P870" s="10">
        <v>50</v>
      </c>
      <c r="Q870" s="10">
        <v>50</v>
      </c>
      <c r="R870" s="10">
        <v>50</v>
      </c>
      <c r="S870" s="10">
        <v>50</v>
      </c>
      <c r="T870" s="10">
        <v>50</v>
      </c>
      <c r="U870" s="10">
        <v>50</v>
      </c>
      <c r="V870" s="10">
        <v>50</v>
      </c>
      <c r="W870" s="10">
        <v>50</v>
      </c>
      <c r="X870" s="10">
        <v>50</v>
      </c>
      <c r="Y870" s="10">
        <f t="shared" si="15"/>
        <v>600</v>
      </c>
    </row>
    <row r="871" spans="1:25" customFormat="1" ht="11.25" customHeight="1">
      <c r="A871" s="261">
        <v>2014</v>
      </c>
      <c r="B871" s="261" t="s">
        <v>573</v>
      </c>
      <c r="C871" s="9" t="s">
        <v>16</v>
      </c>
      <c r="D871" s="9" t="s">
        <v>16</v>
      </c>
      <c r="E871" s="9" t="s">
        <v>149</v>
      </c>
      <c r="F871" s="9" t="s">
        <v>88</v>
      </c>
      <c r="G871" s="9" t="s">
        <v>439</v>
      </c>
      <c r="H871" s="9" t="s">
        <v>149</v>
      </c>
      <c r="I871" s="9" t="s">
        <v>149</v>
      </c>
      <c r="J871" s="9" t="s">
        <v>150</v>
      </c>
      <c r="K871" s="9"/>
      <c r="L871" s="9"/>
      <c r="M871" s="10">
        <v>8825.0400000000009</v>
      </c>
      <c r="N871" s="10">
        <v>8825.0400000000009</v>
      </c>
      <c r="O871" s="10">
        <v>8825.0400000000009</v>
      </c>
      <c r="P871" s="10">
        <v>8825.0400000000009</v>
      </c>
      <c r="Q871" s="10">
        <v>8825.0400000000009</v>
      </c>
      <c r="R871" s="10">
        <v>8825.0400000000009</v>
      </c>
      <c r="S871" s="10">
        <v>8825.0400000000009</v>
      </c>
      <c r="T871" s="10">
        <v>8825.0400000000009</v>
      </c>
      <c r="U871" s="10">
        <v>8825.0400000000009</v>
      </c>
      <c r="V871" s="10">
        <v>8825.0400000000009</v>
      </c>
      <c r="W871" s="10">
        <v>8825.0400000000009</v>
      </c>
      <c r="X871" s="10">
        <v>8825.0400000000009</v>
      </c>
      <c r="Y871" s="10">
        <f t="shared" si="15"/>
        <v>105900.48000000004</v>
      </c>
    </row>
    <row r="872" spans="1:25" customFormat="1" ht="11.25" customHeight="1">
      <c r="A872" s="261">
        <v>2014</v>
      </c>
      <c r="B872" s="261" t="s">
        <v>573</v>
      </c>
      <c r="C872" s="9" t="s">
        <v>16</v>
      </c>
      <c r="D872" s="9" t="s">
        <v>16</v>
      </c>
      <c r="E872" s="9" t="s">
        <v>18</v>
      </c>
      <c r="F872" s="9" t="s">
        <v>88</v>
      </c>
      <c r="G872" s="9" t="s">
        <v>439</v>
      </c>
      <c r="H872" s="9" t="s">
        <v>18</v>
      </c>
      <c r="I872" s="9" t="s">
        <v>18</v>
      </c>
      <c r="J872" s="9" t="s">
        <v>91</v>
      </c>
      <c r="K872" s="9"/>
      <c r="L872" s="9"/>
      <c r="M872" s="10">
        <v>50</v>
      </c>
      <c r="N872" s="10">
        <v>50</v>
      </c>
      <c r="O872" s="10">
        <v>50</v>
      </c>
      <c r="P872" s="10">
        <v>50</v>
      </c>
      <c r="Q872" s="10">
        <v>50</v>
      </c>
      <c r="R872" s="10">
        <v>50</v>
      </c>
      <c r="S872" s="10">
        <v>50</v>
      </c>
      <c r="T872" s="10">
        <v>50</v>
      </c>
      <c r="U872" s="10">
        <v>50</v>
      </c>
      <c r="V872" s="10">
        <v>50</v>
      </c>
      <c r="W872" s="10">
        <v>50</v>
      </c>
      <c r="X872" s="10">
        <v>50</v>
      </c>
      <c r="Y872" s="10">
        <f t="shared" si="15"/>
        <v>600</v>
      </c>
    </row>
    <row r="873" spans="1:25" customFormat="1" ht="11.25" customHeight="1">
      <c r="A873" s="261">
        <v>2014</v>
      </c>
      <c r="B873" s="261" t="s">
        <v>573</v>
      </c>
      <c r="C873" s="9" t="s">
        <v>16</v>
      </c>
      <c r="D873" s="9" t="s">
        <v>16</v>
      </c>
      <c r="E873" s="9" t="s">
        <v>29</v>
      </c>
      <c r="F873" s="9" t="s">
        <v>88</v>
      </c>
      <c r="G873" s="9" t="s">
        <v>439</v>
      </c>
      <c r="H873" s="9" t="s">
        <v>29</v>
      </c>
      <c r="I873" s="9" t="s">
        <v>29</v>
      </c>
      <c r="J873" s="9" t="s">
        <v>30</v>
      </c>
      <c r="K873" s="9"/>
      <c r="L873" s="9"/>
      <c r="M873" s="10">
        <v>50</v>
      </c>
      <c r="N873" s="10">
        <v>50</v>
      </c>
      <c r="O873" s="10">
        <v>50</v>
      </c>
      <c r="P873" s="10">
        <v>50</v>
      </c>
      <c r="Q873" s="10">
        <v>50</v>
      </c>
      <c r="R873" s="10">
        <v>50</v>
      </c>
      <c r="S873" s="10">
        <v>50</v>
      </c>
      <c r="T873" s="10">
        <v>50</v>
      </c>
      <c r="U873" s="10">
        <v>50</v>
      </c>
      <c r="V873" s="10">
        <v>50</v>
      </c>
      <c r="W873" s="10">
        <v>50</v>
      </c>
      <c r="X873" s="10">
        <v>50</v>
      </c>
      <c r="Y873" s="10">
        <f t="shared" si="15"/>
        <v>600</v>
      </c>
    </row>
    <row r="874" spans="1:25" customFormat="1" ht="11.25" customHeight="1">
      <c r="A874" s="261">
        <v>2014</v>
      </c>
      <c r="B874" s="261" t="s">
        <v>573</v>
      </c>
      <c r="C874" s="9" t="s">
        <v>16</v>
      </c>
      <c r="D874" s="9" t="s">
        <v>16</v>
      </c>
      <c r="E874" s="9" t="s">
        <v>89</v>
      </c>
      <c r="F874" s="9" t="s">
        <v>88</v>
      </c>
      <c r="G874" s="9" t="s">
        <v>439</v>
      </c>
      <c r="H874" s="9" t="s">
        <v>89</v>
      </c>
      <c r="I874" s="9" t="s">
        <v>90</v>
      </c>
      <c r="J874" s="9" t="s">
        <v>90</v>
      </c>
      <c r="K874" s="9"/>
      <c r="L874" s="9"/>
      <c r="M874" s="10">
        <v>5000</v>
      </c>
      <c r="N874" s="10">
        <v>5000</v>
      </c>
      <c r="O874" s="10">
        <v>5000</v>
      </c>
      <c r="P874" s="10">
        <v>5000</v>
      </c>
      <c r="Q874" s="10">
        <v>5000</v>
      </c>
      <c r="R874" s="10">
        <v>5000</v>
      </c>
      <c r="S874" s="10">
        <v>5000</v>
      </c>
      <c r="T874" s="10">
        <v>5000</v>
      </c>
      <c r="U874" s="10">
        <v>5000</v>
      </c>
      <c r="V874" s="10">
        <v>5000</v>
      </c>
      <c r="W874" s="10">
        <v>5000</v>
      </c>
      <c r="X874" s="10">
        <v>5000</v>
      </c>
      <c r="Y874" s="10">
        <f t="shared" si="15"/>
        <v>60000</v>
      </c>
    </row>
    <row r="875" spans="1:25" customFormat="1" ht="11.25" customHeight="1">
      <c r="A875" s="261">
        <v>2014</v>
      </c>
      <c r="B875" s="261" t="s">
        <v>573</v>
      </c>
      <c r="C875" s="9" t="s">
        <v>16</v>
      </c>
      <c r="D875" s="9" t="s">
        <v>16</v>
      </c>
      <c r="E875" s="9" t="s">
        <v>148</v>
      </c>
      <c r="F875" s="9" t="s">
        <v>229</v>
      </c>
      <c r="G875" s="9" t="s">
        <v>439</v>
      </c>
      <c r="H875" s="9" t="s">
        <v>148</v>
      </c>
      <c r="I875" s="9" t="s">
        <v>148</v>
      </c>
      <c r="J875" s="9" t="s">
        <v>148</v>
      </c>
      <c r="K875" s="9"/>
      <c r="L875" s="9"/>
      <c r="M875" s="10">
        <v>17168</v>
      </c>
      <c r="N875" s="10">
        <v>17168</v>
      </c>
      <c r="O875" s="10">
        <v>17168</v>
      </c>
      <c r="P875" s="10">
        <v>17168</v>
      </c>
      <c r="Q875" s="10">
        <v>17168</v>
      </c>
      <c r="R875" s="10">
        <v>17168</v>
      </c>
      <c r="S875" s="10">
        <v>17168</v>
      </c>
      <c r="T875" s="10">
        <v>17168</v>
      </c>
      <c r="U875" s="10">
        <v>17168</v>
      </c>
      <c r="V875" s="10">
        <v>17168</v>
      </c>
      <c r="W875" s="10">
        <v>17168</v>
      </c>
      <c r="X875" s="10">
        <v>17168</v>
      </c>
      <c r="Y875" s="10">
        <f t="shared" si="15"/>
        <v>206016</v>
      </c>
    </row>
    <row r="876" spans="1:25" customFormat="1" ht="11.25" customHeight="1">
      <c r="A876" s="261">
        <v>2014</v>
      </c>
      <c r="B876" s="261" t="s">
        <v>573</v>
      </c>
      <c r="C876" s="9" t="s">
        <v>16</v>
      </c>
      <c r="D876" s="9" t="s">
        <v>16</v>
      </c>
      <c r="E876" s="9" t="s">
        <v>27</v>
      </c>
      <c r="F876" s="9" t="s">
        <v>229</v>
      </c>
      <c r="G876" s="9" t="s">
        <v>439</v>
      </c>
      <c r="H876" s="9" t="s">
        <v>27</v>
      </c>
      <c r="I876" s="9" t="s">
        <v>27</v>
      </c>
      <c r="J876" s="9" t="s">
        <v>28</v>
      </c>
      <c r="K876" s="9"/>
      <c r="L876" s="9"/>
      <c r="M876" s="10">
        <v>100</v>
      </c>
      <c r="N876" s="10">
        <v>100</v>
      </c>
      <c r="O876" s="10">
        <v>100</v>
      </c>
      <c r="P876" s="10">
        <v>100</v>
      </c>
      <c r="Q876" s="10">
        <v>100</v>
      </c>
      <c r="R876" s="10">
        <v>100</v>
      </c>
      <c r="S876" s="10">
        <v>100</v>
      </c>
      <c r="T876" s="10">
        <v>100</v>
      </c>
      <c r="U876" s="10">
        <v>100</v>
      </c>
      <c r="V876" s="10">
        <v>100</v>
      </c>
      <c r="W876" s="10">
        <v>100</v>
      </c>
      <c r="X876" s="10">
        <v>100</v>
      </c>
      <c r="Y876" s="10">
        <f t="shared" si="15"/>
        <v>1200</v>
      </c>
    </row>
    <row r="877" spans="1:25" customFormat="1" ht="11.25" customHeight="1">
      <c r="A877" s="261">
        <v>2014</v>
      </c>
      <c r="B877" s="261" t="s">
        <v>573</v>
      </c>
      <c r="C877" s="9" t="s">
        <v>16</v>
      </c>
      <c r="D877" s="9" t="s">
        <v>16</v>
      </c>
      <c r="E877" s="9" t="s">
        <v>149</v>
      </c>
      <c r="F877" s="9" t="s">
        <v>229</v>
      </c>
      <c r="G877" s="9" t="s">
        <v>439</v>
      </c>
      <c r="H877" s="9" t="s">
        <v>149</v>
      </c>
      <c r="I877" s="9" t="s">
        <v>149</v>
      </c>
      <c r="J877" s="9" t="s">
        <v>150</v>
      </c>
      <c r="K877" s="9"/>
      <c r="L877" s="9"/>
      <c r="M877" s="10">
        <v>1844.13</v>
      </c>
      <c r="N877" s="10">
        <v>1844.13</v>
      </c>
      <c r="O877" s="10">
        <v>1844.13</v>
      </c>
      <c r="P877" s="10">
        <v>1844.13</v>
      </c>
      <c r="Q877" s="10">
        <v>1844.13</v>
      </c>
      <c r="R877" s="10">
        <v>1844.13</v>
      </c>
      <c r="S877" s="10">
        <v>1844.13</v>
      </c>
      <c r="T877" s="10">
        <v>1844.13</v>
      </c>
      <c r="U877" s="10">
        <v>1844.13</v>
      </c>
      <c r="V877" s="10">
        <v>1844.13</v>
      </c>
      <c r="W877" s="10">
        <v>1844.13</v>
      </c>
      <c r="X877" s="10">
        <v>1844.13</v>
      </c>
      <c r="Y877" s="10">
        <f t="shared" si="15"/>
        <v>22129.560000000009</v>
      </c>
    </row>
    <row r="878" spans="1:25" customFormat="1" ht="11.25" customHeight="1">
      <c r="A878" s="261">
        <v>2014</v>
      </c>
      <c r="B878" s="261" t="s">
        <v>573</v>
      </c>
      <c r="C878" s="9" t="s">
        <v>16</v>
      </c>
      <c r="D878" s="9" t="s">
        <v>16</v>
      </c>
      <c r="E878" s="9" t="s">
        <v>18</v>
      </c>
      <c r="F878" s="9" t="s">
        <v>229</v>
      </c>
      <c r="G878" s="9" t="s">
        <v>439</v>
      </c>
      <c r="H878" s="9" t="s">
        <v>18</v>
      </c>
      <c r="I878" s="9" t="s">
        <v>18</v>
      </c>
      <c r="J878" s="9" t="s">
        <v>429</v>
      </c>
      <c r="K878" s="9"/>
      <c r="L878" s="9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>
        <v>1100</v>
      </c>
      <c r="Y878" s="10">
        <f t="shared" si="15"/>
        <v>1100</v>
      </c>
    </row>
    <row r="879" spans="1:25" customFormat="1" ht="11.25" customHeight="1">
      <c r="A879" s="261">
        <v>2014</v>
      </c>
      <c r="B879" s="261" t="s">
        <v>573</v>
      </c>
      <c r="C879" s="9" t="s">
        <v>16</v>
      </c>
      <c r="D879" s="9" t="s">
        <v>16</v>
      </c>
      <c r="E879" s="9" t="s">
        <v>148</v>
      </c>
      <c r="F879" s="9" t="s">
        <v>230</v>
      </c>
      <c r="G879" s="9" t="s">
        <v>439</v>
      </c>
      <c r="H879" s="9" t="s">
        <v>148</v>
      </c>
      <c r="I879" s="9" t="s">
        <v>148</v>
      </c>
      <c r="J879" s="9" t="s">
        <v>148</v>
      </c>
      <c r="K879" s="9"/>
      <c r="L879" s="9"/>
      <c r="M879" s="10">
        <v>17168</v>
      </c>
      <c r="N879" s="10">
        <v>17168</v>
      </c>
      <c r="O879" s="10">
        <v>17168</v>
      </c>
      <c r="P879" s="10">
        <v>17168</v>
      </c>
      <c r="Q879" s="10">
        <v>17168</v>
      </c>
      <c r="R879" s="10">
        <v>17168</v>
      </c>
      <c r="S879" s="10">
        <v>17168</v>
      </c>
      <c r="T879" s="10">
        <v>17168</v>
      </c>
      <c r="U879" s="10">
        <v>17168</v>
      </c>
      <c r="V879" s="10">
        <v>17168</v>
      </c>
      <c r="W879" s="10">
        <v>17168</v>
      </c>
      <c r="X879" s="10">
        <v>17168</v>
      </c>
      <c r="Y879" s="10">
        <f t="shared" si="15"/>
        <v>206016</v>
      </c>
    </row>
    <row r="880" spans="1:25" customFormat="1" ht="11.25" customHeight="1">
      <c r="A880" s="261">
        <v>2014</v>
      </c>
      <c r="B880" s="261" t="s">
        <v>573</v>
      </c>
      <c r="C880" s="9" t="s">
        <v>16</v>
      </c>
      <c r="D880" s="9" t="s">
        <v>16</v>
      </c>
      <c r="E880" s="9" t="s">
        <v>27</v>
      </c>
      <c r="F880" s="9" t="s">
        <v>230</v>
      </c>
      <c r="G880" s="9" t="s">
        <v>439</v>
      </c>
      <c r="H880" s="9" t="s">
        <v>27</v>
      </c>
      <c r="I880" s="9" t="s">
        <v>27</v>
      </c>
      <c r="J880" s="9" t="s">
        <v>28</v>
      </c>
      <c r="K880" s="9"/>
      <c r="L880" s="9"/>
      <c r="M880" s="10">
        <v>160</v>
      </c>
      <c r="N880" s="10">
        <v>150</v>
      </c>
      <c r="O880" s="10">
        <v>150</v>
      </c>
      <c r="P880" s="10">
        <v>150</v>
      </c>
      <c r="Q880" s="10">
        <v>150</v>
      </c>
      <c r="R880" s="10">
        <v>150</v>
      </c>
      <c r="S880" s="10">
        <v>150</v>
      </c>
      <c r="T880" s="10">
        <v>150</v>
      </c>
      <c r="U880" s="10">
        <v>150</v>
      </c>
      <c r="V880" s="10">
        <v>150</v>
      </c>
      <c r="W880" s="10">
        <v>150</v>
      </c>
      <c r="X880" s="10">
        <v>150</v>
      </c>
      <c r="Y880" s="10">
        <f t="shared" si="15"/>
        <v>1810</v>
      </c>
    </row>
    <row r="881" spans="1:25" customFormat="1" ht="11.25" customHeight="1">
      <c r="A881" s="261">
        <v>2014</v>
      </c>
      <c r="B881" s="261" t="s">
        <v>573</v>
      </c>
      <c r="C881" s="9" t="s">
        <v>16</v>
      </c>
      <c r="D881" s="9" t="s">
        <v>16</v>
      </c>
      <c r="E881" s="9" t="s">
        <v>149</v>
      </c>
      <c r="F881" s="9" t="s">
        <v>230</v>
      </c>
      <c r="G881" s="9" t="s">
        <v>439</v>
      </c>
      <c r="H881" s="9" t="s">
        <v>149</v>
      </c>
      <c r="I881" s="9" t="s">
        <v>149</v>
      </c>
      <c r="J881" s="9" t="s">
        <v>150</v>
      </c>
      <c r="K881" s="9"/>
      <c r="L881" s="9"/>
      <c r="M881" s="10">
        <v>1844.13</v>
      </c>
      <c r="N881" s="10">
        <v>1844.13</v>
      </c>
      <c r="O881" s="10">
        <v>1844.13</v>
      </c>
      <c r="P881" s="10">
        <v>1844.13</v>
      </c>
      <c r="Q881" s="10">
        <v>1844.13</v>
      </c>
      <c r="R881" s="10">
        <v>1844.13</v>
      </c>
      <c r="S881" s="10">
        <v>1844.13</v>
      </c>
      <c r="T881" s="10">
        <v>1844.13</v>
      </c>
      <c r="U881" s="10">
        <v>1844.13</v>
      </c>
      <c r="V881" s="10">
        <v>1844.13</v>
      </c>
      <c r="W881" s="10">
        <v>1844.13</v>
      </c>
      <c r="X881" s="10">
        <v>1844.13</v>
      </c>
      <c r="Y881" s="10">
        <f t="shared" si="15"/>
        <v>22129.560000000009</v>
      </c>
    </row>
    <row r="882" spans="1:25" customFormat="1" ht="11.25" customHeight="1">
      <c r="A882" s="261">
        <v>2014</v>
      </c>
      <c r="B882" s="261" t="s">
        <v>573</v>
      </c>
      <c r="C882" s="9" t="s">
        <v>16</v>
      </c>
      <c r="D882" s="9" t="s">
        <v>16</v>
      </c>
      <c r="E882" s="9" t="s">
        <v>18</v>
      </c>
      <c r="F882" s="9" t="s">
        <v>230</v>
      </c>
      <c r="G882" s="9" t="s">
        <v>439</v>
      </c>
      <c r="H882" s="9" t="s">
        <v>18</v>
      </c>
      <c r="I882" s="9" t="s">
        <v>18</v>
      </c>
      <c r="J882" s="9" t="s">
        <v>429</v>
      </c>
      <c r="K882" s="9"/>
      <c r="L882" s="9"/>
      <c r="M882" s="10"/>
      <c r="N882" s="10"/>
      <c r="O882" s="10"/>
      <c r="P882" s="10"/>
      <c r="Q882" s="10">
        <v>500</v>
      </c>
      <c r="R882" s="10"/>
      <c r="S882" s="10"/>
      <c r="T882" s="10"/>
      <c r="U882" s="10"/>
      <c r="V882" s="10"/>
      <c r="W882" s="10">
        <v>800</v>
      </c>
      <c r="X882" s="10"/>
      <c r="Y882" s="10">
        <f t="shared" si="15"/>
        <v>1300</v>
      </c>
    </row>
    <row r="883" spans="1:25" customFormat="1" ht="11.25" customHeight="1">
      <c r="A883" s="261">
        <v>2014</v>
      </c>
      <c r="B883" s="261" t="s">
        <v>573</v>
      </c>
      <c r="C883" s="9" t="s">
        <v>16</v>
      </c>
      <c r="D883" s="9" t="s">
        <v>16</v>
      </c>
      <c r="E883" s="9" t="s">
        <v>18</v>
      </c>
      <c r="F883" s="9" t="s">
        <v>230</v>
      </c>
      <c r="G883" s="9" t="s">
        <v>439</v>
      </c>
      <c r="H883" s="9" t="s">
        <v>18</v>
      </c>
      <c r="I883" s="9" t="s">
        <v>18</v>
      </c>
      <c r="J883" s="9" t="s">
        <v>91</v>
      </c>
      <c r="K883" s="9"/>
      <c r="L883" s="9"/>
      <c r="M883" s="10"/>
      <c r="N883" s="10"/>
      <c r="O883" s="10">
        <v>750</v>
      </c>
      <c r="P883" s="10"/>
      <c r="Q883" s="10"/>
      <c r="R883" s="10"/>
      <c r="S883" s="10"/>
      <c r="T883" s="10"/>
      <c r="U883" s="10"/>
      <c r="V883" s="10"/>
      <c r="W883" s="10"/>
      <c r="X883" s="10"/>
      <c r="Y883" s="10">
        <f t="shared" si="15"/>
        <v>750</v>
      </c>
    </row>
    <row r="884" spans="1:25" customFormat="1" ht="11.25" customHeight="1">
      <c r="A884" s="261">
        <v>2014</v>
      </c>
      <c r="B884" s="261" t="s">
        <v>573</v>
      </c>
      <c r="C884" s="9" t="s">
        <v>16</v>
      </c>
      <c r="D884" s="9" t="s">
        <v>16</v>
      </c>
      <c r="E884" s="9" t="s">
        <v>29</v>
      </c>
      <c r="F884" s="9" t="s">
        <v>230</v>
      </c>
      <c r="G884" s="9" t="s">
        <v>439</v>
      </c>
      <c r="H884" s="9" t="s">
        <v>29</v>
      </c>
      <c r="I884" s="9" t="s">
        <v>29</v>
      </c>
      <c r="J884" s="9" t="s">
        <v>30</v>
      </c>
      <c r="K884" s="9"/>
      <c r="L884" s="9"/>
      <c r="M884" s="10">
        <v>100</v>
      </c>
      <c r="N884" s="10">
        <v>100</v>
      </c>
      <c r="O884" s="10">
        <v>400</v>
      </c>
      <c r="P884" s="10">
        <v>100</v>
      </c>
      <c r="Q884" s="10">
        <v>100</v>
      </c>
      <c r="R884" s="10">
        <v>100</v>
      </c>
      <c r="S884" s="10">
        <v>100</v>
      </c>
      <c r="T884" s="10">
        <v>100</v>
      </c>
      <c r="U884" s="10">
        <v>100</v>
      </c>
      <c r="V884" s="10">
        <v>100</v>
      </c>
      <c r="W884" s="10">
        <v>100</v>
      </c>
      <c r="X884" s="10">
        <v>100</v>
      </c>
      <c r="Y884" s="10">
        <f t="shared" si="15"/>
        <v>1500</v>
      </c>
    </row>
    <row r="885" spans="1:25" customFormat="1" ht="11.25" customHeight="1">
      <c r="A885" s="261">
        <v>2014</v>
      </c>
      <c r="B885" s="261" t="s">
        <v>573</v>
      </c>
      <c r="C885" s="9" t="s">
        <v>16</v>
      </c>
      <c r="D885" s="9" t="s">
        <v>16</v>
      </c>
      <c r="E885" s="9" t="s">
        <v>25</v>
      </c>
      <c r="F885" s="9" t="s">
        <v>17</v>
      </c>
      <c r="G885" s="9" t="s">
        <v>439</v>
      </c>
      <c r="H885" s="9" t="s">
        <v>25</v>
      </c>
      <c r="I885" s="9" t="s">
        <v>25</v>
      </c>
      <c r="J885" s="9" t="s">
        <v>26</v>
      </c>
      <c r="K885" s="9"/>
      <c r="L885" s="9"/>
      <c r="M885" s="10">
        <v>9200</v>
      </c>
      <c r="N885" s="10">
        <v>9200</v>
      </c>
      <c r="O885" s="10">
        <v>9200</v>
      </c>
      <c r="P885" s="10">
        <v>9200</v>
      </c>
      <c r="Q885" s="10">
        <v>9200</v>
      </c>
      <c r="R885" s="10">
        <v>9200</v>
      </c>
      <c r="S885" s="10">
        <v>9200</v>
      </c>
      <c r="T885" s="10">
        <v>9200</v>
      </c>
      <c r="U885" s="10">
        <v>9200</v>
      </c>
      <c r="V885" s="10">
        <v>9200</v>
      </c>
      <c r="W885" s="10">
        <v>9200</v>
      </c>
      <c r="X885" s="10">
        <v>9200</v>
      </c>
      <c r="Y885" s="10">
        <f t="shared" si="15"/>
        <v>110400</v>
      </c>
    </row>
    <row r="886" spans="1:25" customFormat="1" ht="11.25" customHeight="1">
      <c r="A886" s="261">
        <v>2014</v>
      </c>
      <c r="B886" s="261" t="s">
        <v>573</v>
      </c>
      <c r="C886" s="9" t="s">
        <v>16</v>
      </c>
      <c r="D886" s="9" t="s">
        <v>16</v>
      </c>
      <c r="E886" s="9" t="s">
        <v>148</v>
      </c>
      <c r="F886" s="9" t="s">
        <v>17</v>
      </c>
      <c r="G886" s="9" t="s">
        <v>439</v>
      </c>
      <c r="H886" s="9" t="s">
        <v>148</v>
      </c>
      <c r="I886" s="9" t="s">
        <v>148</v>
      </c>
      <c r="J886" s="9" t="s">
        <v>148</v>
      </c>
      <c r="K886" s="9"/>
      <c r="L886" s="9"/>
      <c r="M886" s="10">
        <v>18812</v>
      </c>
      <c r="N886" s="10">
        <v>18812</v>
      </c>
      <c r="O886" s="10">
        <v>18812</v>
      </c>
      <c r="P886" s="10">
        <v>18812</v>
      </c>
      <c r="Q886" s="10">
        <v>18812</v>
      </c>
      <c r="R886" s="10">
        <v>18812</v>
      </c>
      <c r="S886" s="10">
        <v>18812</v>
      </c>
      <c r="T886" s="10">
        <v>18812</v>
      </c>
      <c r="U886" s="10">
        <v>18812</v>
      </c>
      <c r="V886" s="10">
        <v>18812</v>
      </c>
      <c r="W886" s="10">
        <v>18812</v>
      </c>
      <c r="X886" s="10">
        <v>18812</v>
      </c>
      <c r="Y886" s="10">
        <f t="shared" si="15"/>
        <v>225744</v>
      </c>
    </row>
    <row r="887" spans="1:25" customFormat="1" ht="11.25" customHeight="1">
      <c r="A887" s="261">
        <v>2014</v>
      </c>
      <c r="B887" s="261" t="s">
        <v>573</v>
      </c>
      <c r="C887" s="9" t="s">
        <v>16</v>
      </c>
      <c r="D887" s="9" t="s">
        <v>16</v>
      </c>
      <c r="E887" s="9" t="s">
        <v>20</v>
      </c>
      <c r="F887" s="9" t="s">
        <v>17</v>
      </c>
      <c r="G887" s="9" t="s">
        <v>439</v>
      </c>
      <c r="H887" s="9" t="s">
        <v>20</v>
      </c>
      <c r="I887" s="9" t="s">
        <v>20</v>
      </c>
      <c r="J887" s="9" t="s">
        <v>21</v>
      </c>
      <c r="K887" s="9"/>
      <c r="L887" s="9"/>
      <c r="M887" s="10">
        <v>2200</v>
      </c>
      <c r="N887" s="10">
        <v>2200</v>
      </c>
      <c r="O887" s="10">
        <v>3000</v>
      </c>
      <c r="P887" s="10">
        <v>3000</v>
      </c>
      <c r="Q887" s="10">
        <v>3000</v>
      </c>
      <c r="R887" s="10">
        <v>3000</v>
      </c>
      <c r="S887" s="10">
        <v>3000</v>
      </c>
      <c r="T887" s="10">
        <v>2500</v>
      </c>
      <c r="U887" s="10">
        <v>2500</v>
      </c>
      <c r="V887" s="10">
        <v>2500</v>
      </c>
      <c r="W887" s="10">
        <v>2500</v>
      </c>
      <c r="X887" s="10">
        <v>2500</v>
      </c>
      <c r="Y887" s="10">
        <f t="shared" si="15"/>
        <v>31900</v>
      </c>
    </row>
    <row r="888" spans="1:25" customFormat="1" ht="11.25" customHeight="1">
      <c r="A888" s="261">
        <v>2014</v>
      </c>
      <c r="B888" s="261" t="s">
        <v>573</v>
      </c>
      <c r="C888" s="9" t="s">
        <v>16</v>
      </c>
      <c r="D888" s="9" t="s">
        <v>16</v>
      </c>
      <c r="E888" s="9" t="s">
        <v>27</v>
      </c>
      <c r="F888" s="9" t="s">
        <v>17</v>
      </c>
      <c r="G888" s="9" t="s">
        <v>439</v>
      </c>
      <c r="H888" s="9" t="s">
        <v>27</v>
      </c>
      <c r="I888" s="9" t="s">
        <v>27</v>
      </c>
      <c r="J888" s="9" t="s">
        <v>28</v>
      </c>
      <c r="K888" s="9"/>
      <c r="L888" s="9"/>
      <c r="M888" s="10">
        <v>30</v>
      </c>
      <c r="N888" s="10">
        <v>30</v>
      </c>
      <c r="O888" s="10">
        <v>30</v>
      </c>
      <c r="P888" s="10">
        <v>30</v>
      </c>
      <c r="Q888" s="10">
        <v>30</v>
      </c>
      <c r="R888" s="10">
        <v>30</v>
      </c>
      <c r="S888" s="10">
        <v>30</v>
      </c>
      <c r="T888" s="10">
        <v>30</v>
      </c>
      <c r="U888" s="10">
        <v>30</v>
      </c>
      <c r="V888" s="10">
        <v>30</v>
      </c>
      <c r="W888" s="10">
        <v>30</v>
      </c>
      <c r="X888" s="10">
        <v>30</v>
      </c>
      <c r="Y888" s="10">
        <f t="shared" si="15"/>
        <v>360</v>
      </c>
    </row>
    <row r="889" spans="1:25" customFormat="1" ht="11.25" customHeight="1">
      <c r="A889" s="261">
        <v>2014</v>
      </c>
      <c r="B889" s="261" t="s">
        <v>573</v>
      </c>
      <c r="C889" s="9" t="s">
        <v>16</v>
      </c>
      <c r="D889" s="9" t="s">
        <v>16</v>
      </c>
      <c r="E889" s="9" t="s">
        <v>22</v>
      </c>
      <c r="F889" s="9" t="s">
        <v>17</v>
      </c>
      <c r="G889" s="9" t="s">
        <v>439</v>
      </c>
      <c r="H889" s="9" t="s">
        <v>22</v>
      </c>
      <c r="I889" s="9" t="s">
        <v>23</v>
      </c>
      <c r="J889" s="9" t="s">
        <v>24</v>
      </c>
      <c r="K889" s="9"/>
      <c r="L889" s="9"/>
      <c r="M889" s="10">
        <v>150</v>
      </c>
      <c r="N889" s="10">
        <v>150</v>
      </c>
      <c r="O889" s="10">
        <v>150</v>
      </c>
      <c r="P889" s="10">
        <v>300</v>
      </c>
      <c r="Q889" s="10">
        <v>300</v>
      </c>
      <c r="R889" s="10">
        <v>300</v>
      </c>
      <c r="S889" s="10">
        <v>300</v>
      </c>
      <c r="T889" s="10">
        <v>300</v>
      </c>
      <c r="U889" s="10">
        <v>300</v>
      </c>
      <c r="V889" s="10">
        <v>300</v>
      </c>
      <c r="W889" s="10">
        <v>300</v>
      </c>
      <c r="X889" s="10">
        <v>300</v>
      </c>
      <c r="Y889" s="10">
        <f t="shared" si="15"/>
        <v>3150</v>
      </c>
    </row>
    <row r="890" spans="1:25" customFormat="1" ht="11.25" customHeight="1">
      <c r="A890" s="261">
        <v>2014</v>
      </c>
      <c r="B890" s="261" t="s">
        <v>573</v>
      </c>
      <c r="C890" s="9" t="s">
        <v>16</v>
      </c>
      <c r="D890" s="9" t="s">
        <v>16</v>
      </c>
      <c r="E890" s="9" t="s">
        <v>149</v>
      </c>
      <c r="F890" s="9" t="s">
        <v>17</v>
      </c>
      <c r="G890" s="9" t="s">
        <v>439</v>
      </c>
      <c r="H890" s="9" t="s">
        <v>149</v>
      </c>
      <c r="I890" s="9" t="s">
        <v>149</v>
      </c>
      <c r="J890" s="9" t="s">
        <v>150</v>
      </c>
      <c r="K890" s="9"/>
      <c r="L890" s="9"/>
      <c r="M890" s="10">
        <v>4867.9799999999996</v>
      </c>
      <c r="N890" s="10">
        <v>4867.9799999999996</v>
      </c>
      <c r="O890" s="10">
        <v>4867.9799999999996</v>
      </c>
      <c r="P890" s="10">
        <v>4867.9799999999996</v>
      </c>
      <c r="Q890" s="10">
        <v>4867.9799999999996</v>
      </c>
      <c r="R890" s="10">
        <v>4867.9799999999996</v>
      </c>
      <c r="S890" s="10">
        <v>4867.9799999999996</v>
      </c>
      <c r="T890" s="10">
        <v>4867.9799999999996</v>
      </c>
      <c r="U890" s="10">
        <v>4867.9799999999996</v>
      </c>
      <c r="V890" s="10">
        <v>4867.9799999999996</v>
      </c>
      <c r="W890" s="10">
        <v>4867.9799999999996</v>
      </c>
      <c r="X890" s="10">
        <v>4867.9799999999996</v>
      </c>
      <c r="Y890" s="10">
        <f t="shared" si="15"/>
        <v>58415.75999999998</v>
      </c>
    </row>
    <row r="891" spans="1:25" customFormat="1" ht="11.25" customHeight="1">
      <c r="A891" s="261">
        <v>2014</v>
      </c>
      <c r="B891" s="261" t="s">
        <v>573</v>
      </c>
      <c r="C891" s="9" t="s">
        <v>16</v>
      </c>
      <c r="D891" s="9" t="s">
        <v>16</v>
      </c>
      <c r="E891" s="9" t="s">
        <v>18</v>
      </c>
      <c r="F891" s="9" t="s">
        <v>17</v>
      </c>
      <c r="G891" s="9" t="s">
        <v>439</v>
      </c>
      <c r="H891" s="9" t="s">
        <v>18</v>
      </c>
      <c r="I891" s="9" t="s">
        <v>18</v>
      </c>
      <c r="J891" s="9" t="s">
        <v>19</v>
      </c>
      <c r="K891" s="9"/>
      <c r="L891" s="9"/>
      <c r="M891" s="10">
        <v>8000</v>
      </c>
      <c r="N891" s="10">
        <v>8000</v>
      </c>
      <c r="O891" s="10">
        <v>10000</v>
      </c>
      <c r="P891" s="10">
        <v>10000</v>
      </c>
      <c r="Q891" s="10">
        <v>10000</v>
      </c>
      <c r="R891" s="10">
        <v>10000</v>
      </c>
      <c r="S891" s="10">
        <v>10000</v>
      </c>
      <c r="T891" s="10">
        <v>10000</v>
      </c>
      <c r="U891" s="10">
        <v>8500</v>
      </c>
      <c r="V891" s="10">
        <v>8500</v>
      </c>
      <c r="W891" s="10">
        <v>8500</v>
      </c>
      <c r="X891" s="10">
        <v>8500</v>
      </c>
      <c r="Y891" s="10">
        <f t="shared" si="15"/>
        <v>110000</v>
      </c>
    </row>
    <row r="892" spans="1:25" customFormat="1" ht="11.25" customHeight="1">
      <c r="A892" s="261">
        <v>2014</v>
      </c>
      <c r="B892" s="261" t="s">
        <v>573</v>
      </c>
      <c r="C892" s="9" t="s">
        <v>16</v>
      </c>
      <c r="D892" s="9" t="s">
        <v>16</v>
      </c>
      <c r="E892" s="9" t="s">
        <v>29</v>
      </c>
      <c r="F892" s="9" t="s">
        <v>17</v>
      </c>
      <c r="G892" s="9" t="s">
        <v>439</v>
      </c>
      <c r="H892" s="9" t="s">
        <v>29</v>
      </c>
      <c r="I892" s="9" t="s">
        <v>29</v>
      </c>
      <c r="J892" s="9" t="s">
        <v>31</v>
      </c>
      <c r="K892" s="9"/>
      <c r="L892" s="9"/>
      <c r="M892" s="10">
        <v>350</v>
      </c>
      <c r="N892" s="10">
        <v>350</v>
      </c>
      <c r="O892" s="10">
        <v>350</v>
      </c>
      <c r="P892" s="10">
        <v>350</v>
      </c>
      <c r="Q892" s="10">
        <v>350</v>
      </c>
      <c r="R892" s="10">
        <v>350</v>
      </c>
      <c r="S892" s="10">
        <v>350</v>
      </c>
      <c r="T892" s="10">
        <v>350</v>
      </c>
      <c r="U892" s="10">
        <v>350</v>
      </c>
      <c r="V892" s="10">
        <v>300</v>
      </c>
      <c r="W892" s="10">
        <v>300</v>
      </c>
      <c r="X892" s="10">
        <v>300</v>
      </c>
      <c r="Y892" s="10">
        <f t="shared" si="15"/>
        <v>4050</v>
      </c>
    </row>
    <row r="893" spans="1:25" customFormat="1" ht="11.25" customHeight="1">
      <c r="A893" s="261">
        <v>2014</v>
      </c>
      <c r="B893" s="261" t="s">
        <v>573</v>
      </c>
      <c r="C893" s="9" t="s">
        <v>16</v>
      </c>
      <c r="D893" s="9" t="s">
        <v>16</v>
      </c>
      <c r="E893" s="9" t="s">
        <v>29</v>
      </c>
      <c r="F893" s="9" t="s">
        <v>17</v>
      </c>
      <c r="G893" s="9" t="s">
        <v>439</v>
      </c>
      <c r="H893" s="9" t="s">
        <v>29</v>
      </c>
      <c r="I893" s="9" t="s">
        <v>29</v>
      </c>
      <c r="J893" s="9" t="s">
        <v>30</v>
      </c>
      <c r="K893" s="9"/>
      <c r="L893" s="9"/>
      <c r="M893" s="10">
        <v>1000</v>
      </c>
      <c r="N893" s="10">
        <v>2000</v>
      </c>
      <c r="O893" s="10">
        <v>2500</v>
      </c>
      <c r="P893" s="10">
        <v>3000</v>
      </c>
      <c r="Q893" s="10">
        <v>3000</v>
      </c>
      <c r="R893" s="10">
        <v>3000</v>
      </c>
      <c r="S893" s="10">
        <v>3000</v>
      </c>
      <c r="T893" s="10">
        <v>2500</v>
      </c>
      <c r="U893" s="10">
        <v>2000</v>
      </c>
      <c r="V893" s="10">
        <v>2000</v>
      </c>
      <c r="W893" s="10">
        <v>2000</v>
      </c>
      <c r="X893" s="10">
        <v>2000</v>
      </c>
      <c r="Y893" s="10">
        <f t="shared" si="15"/>
        <v>28000</v>
      </c>
    </row>
    <row r="894" spans="1:25" customFormat="1" ht="11.25" customHeight="1">
      <c r="A894" s="261">
        <v>2014</v>
      </c>
      <c r="B894" s="261" t="s">
        <v>574</v>
      </c>
      <c r="C894" s="9" t="s">
        <v>16</v>
      </c>
      <c r="D894" s="9" t="s">
        <v>16</v>
      </c>
      <c r="E894" s="9" t="s">
        <v>148</v>
      </c>
      <c r="F894" s="9" t="s">
        <v>147</v>
      </c>
      <c r="G894" s="9" t="s">
        <v>439</v>
      </c>
      <c r="H894" s="9" t="s">
        <v>148</v>
      </c>
      <c r="I894" s="9" t="s">
        <v>148</v>
      </c>
      <c r="J894" s="9" t="s">
        <v>148</v>
      </c>
      <c r="K894" s="9"/>
      <c r="L894" s="9"/>
      <c r="M894" s="10">
        <v>273772</v>
      </c>
      <c r="N894" s="10">
        <v>286347</v>
      </c>
      <c r="O894" s="157">
        <v>207244.05767730498</v>
      </c>
      <c r="P894" s="157">
        <v>168230.69687706855</v>
      </c>
      <c r="Q894" s="157">
        <v>169813.68327304965</v>
      </c>
      <c r="R894" s="157">
        <v>182121.13341843971</v>
      </c>
      <c r="S894" s="157">
        <v>204085.7151962175</v>
      </c>
      <c r="T894" s="157">
        <v>200213.84378794327</v>
      </c>
      <c r="U894" s="157">
        <v>203701.73790543736</v>
      </c>
      <c r="V894" s="157">
        <v>204851.23790543736</v>
      </c>
      <c r="W894" s="157">
        <v>200135.20796099291</v>
      </c>
      <c r="X894" s="157">
        <v>205405.41837352244</v>
      </c>
      <c r="Y894" s="10">
        <f t="shared" si="15"/>
        <v>2505921.7323754136</v>
      </c>
    </row>
    <row r="895" spans="1:25" customFormat="1" ht="11.25" customHeight="1">
      <c r="A895" s="261">
        <v>2014</v>
      </c>
      <c r="B895" s="261" t="s">
        <v>573</v>
      </c>
      <c r="C895" s="9" t="s">
        <v>16</v>
      </c>
      <c r="D895" s="9" t="s">
        <v>16</v>
      </c>
      <c r="E895" s="9" t="s">
        <v>27</v>
      </c>
      <c r="F895" s="9" t="s">
        <v>147</v>
      </c>
      <c r="G895" s="9" t="s">
        <v>439</v>
      </c>
      <c r="H895" s="9" t="s">
        <v>27</v>
      </c>
      <c r="I895" s="9" t="s">
        <v>27</v>
      </c>
      <c r="J895" s="9" t="s">
        <v>28</v>
      </c>
      <c r="K895" s="9"/>
      <c r="L895" s="9"/>
      <c r="M895" s="10">
        <v>300</v>
      </c>
      <c r="N895" s="10">
        <v>300</v>
      </c>
      <c r="O895" s="10">
        <v>300</v>
      </c>
      <c r="P895" s="10">
        <v>300</v>
      </c>
      <c r="Q895" s="10">
        <v>300</v>
      </c>
      <c r="R895" s="10">
        <v>300</v>
      </c>
      <c r="S895" s="10">
        <v>300</v>
      </c>
      <c r="T895" s="10">
        <v>300</v>
      </c>
      <c r="U895" s="10">
        <v>300</v>
      </c>
      <c r="V895" s="10">
        <v>300</v>
      </c>
      <c r="W895" s="10">
        <v>300</v>
      </c>
      <c r="X895" s="10">
        <v>300</v>
      </c>
      <c r="Y895" s="10">
        <f t="shared" si="15"/>
        <v>3600</v>
      </c>
    </row>
    <row r="896" spans="1:25" customFormat="1" ht="11.25" customHeight="1">
      <c r="A896" s="261">
        <v>2014</v>
      </c>
      <c r="B896" s="261" t="s">
        <v>573</v>
      </c>
      <c r="C896" s="9" t="s">
        <v>16</v>
      </c>
      <c r="D896" s="9" t="s">
        <v>16</v>
      </c>
      <c r="E896" s="9" t="s">
        <v>57</v>
      </c>
      <c r="F896" s="9" t="s">
        <v>147</v>
      </c>
      <c r="G896" s="9" t="s">
        <v>439</v>
      </c>
      <c r="H896" s="9" t="s">
        <v>57</v>
      </c>
      <c r="I896" s="9" t="s">
        <v>57</v>
      </c>
      <c r="J896" s="9" t="s">
        <v>261</v>
      </c>
      <c r="K896" s="9"/>
      <c r="L896" s="9"/>
      <c r="M896" s="10">
        <v>9000</v>
      </c>
      <c r="N896" s="10">
        <v>9000</v>
      </c>
      <c r="O896" s="10">
        <v>9000</v>
      </c>
      <c r="P896" s="10">
        <v>9000</v>
      </c>
      <c r="Q896" s="10">
        <v>9000</v>
      </c>
      <c r="R896" s="10">
        <v>9000</v>
      </c>
      <c r="S896" s="10">
        <v>9000</v>
      </c>
      <c r="T896" s="10">
        <v>9000</v>
      </c>
      <c r="U896" s="10">
        <v>9000</v>
      </c>
      <c r="V896" s="10">
        <v>9000</v>
      </c>
      <c r="W896" s="10">
        <v>9000</v>
      </c>
      <c r="X896" s="10">
        <v>9000</v>
      </c>
      <c r="Y896" s="10">
        <f t="shared" si="15"/>
        <v>108000</v>
      </c>
    </row>
    <row r="897" spans="1:25" customFormat="1" ht="11.25" customHeight="1">
      <c r="A897" s="261">
        <v>2014</v>
      </c>
      <c r="B897" s="261" t="s">
        <v>573</v>
      </c>
      <c r="C897" s="9" t="s">
        <v>16</v>
      </c>
      <c r="D897" s="9" t="s">
        <v>16</v>
      </c>
      <c r="E897" s="9" t="s">
        <v>149</v>
      </c>
      <c r="F897" s="9" t="s">
        <v>147</v>
      </c>
      <c r="G897" s="9" t="s">
        <v>439</v>
      </c>
      <c r="H897" s="9" t="s">
        <v>149</v>
      </c>
      <c r="I897" s="9" t="s">
        <v>149</v>
      </c>
      <c r="J897" s="9" t="s">
        <v>150</v>
      </c>
      <c r="K897" s="9"/>
      <c r="L897" s="9"/>
      <c r="M897" s="10">
        <v>86868.47</v>
      </c>
      <c r="N897" s="10">
        <v>86868.47</v>
      </c>
      <c r="O897" s="10">
        <v>86868.47</v>
      </c>
      <c r="P897" s="10">
        <v>86868.47</v>
      </c>
      <c r="Q897" s="10">
        <v>86868.47</v>
      </c>
      <c r="R897" s="10">
        <v>86868.47</v>
      </c>
      <c r="S897" s="10">
        <v>86868.47</v>
      </c>
      <c r="T897" s="10">
        <v>86868.47</v>
      </c>
      <c r="U897" s="10">
        <v>86868.47</v>
      </c>
      <c r="V897" s="10">
        <v>86868.47</v>
      </c>
      <c r="W897" s="10">
        <v>86868.47</v>
      </c>
      <c r="X897" s="10">
        <v>86868.47</v>
      </c>
      <c r="Y897" s="10">
        <f t="shared" si="15"/>
        <v>1042421.6399999998</v>
      </c>
    </row>
    <row r="898" spans="1:25" customFormat="1" ht="11.25" customHeight="1">
      <c r="A898" s="261">
        <v>2014</v>
      </c>
      <c r="B898" s="261" t="s">
        <v>573</v>
      </c>
      <c r="C898" s="9" t="s">
        <v>16</v>
      </c>
      <c r="D898" s="9" t="s">
        <v>16</v>
      </c>
      <c r="E898" s="9" t="s">
        <v>18</v>
      </c>
      <c r="F898" s="9" t="s">
        <v>147</v>
      </c>
      <c r="G898" s="9" t="s">
        <v>439</v>
      </c>
      <c r="H898" s="9" t="s">
        <v>18</v>
      </c>
      <c r="I898" s="9" t="s">
        <v>18</v>
      </c>
      <c r="J898" s="9" t="s">
        <v>91</v>
      </c>
      <c r="K898" s="9"/>
      <c r="L898" s="9"/>
      <c r="M898" s="10">
        <v>5896</v>
      </c>
      <c r="N898" s="10">
        <v>5896</v>
      </c>
      <c r="O898" s="10">
        <v>5896</v>
      </c>
      <c r="P898" s="10">
        <v>5896</v>
      </c>
      <c r="Q898" s="10">
        <v>5896</v>
      </c>
      <c r="R898" s="10">
        <v>5896</v>
      </c>
      <c r="S898" s="10">
        <v>5896</v>
      </c>
      <c r="T898" s="10">
        <v>5896</v>
      </c>
      <c r="U898" s="10">
        <v>5896</v>
      </c>
      <c r="V898" s="10">
        <v>5896</v>
      </c>
      <c r="W898" s="10">
        <v>5896</v>
      </c>
      <c r="X898" s="10">
        <v>5896</v>
      </c>
      <c r="Y898" s="10">
        <f t="shared" si="15"/>
        <v>70752</v>
      </c>
    </row>
    <row r="899" spans="1:25" customFormat="1" ht="11.25" customHeight="1">
      <c r="A899" s="261">
        <v>2014</v>
      </c>
      <c r="B899" s="261" t="s">
        <v>573</v>
      </c>
      <c r="C899" s="9" t="s">
        <v>16</v>
      </c>
      <c r="D899" s="9" t="s">
        <v>16</v>
      </c>
      <c r="E899" s="9" t="s">
        <v>18</v>
      </c>
      <c r="F899" s="9" t="s">
        <v>147</v>
      </c>
      <c r="G899" s="9" t="s">
        <v>439</v>
      </c>
      <c r="H899" s="9" t="s">
        <v>18</v>
      </c>
      <c r="I899" s="9" t="s">
        <v>18</v>
      </c>
      <c r="J899" s="9" t="s">
        <v>44</v>
      </c>
      <c r="K899" s="9"/>
      <c r="L899" s="9"/>
      <c r="M899" s="10">
        <v>500</v>
      </c>
      <c r="N899" s="10">
        <v>400</v>
      </c>
      <c r="O899" s="10">
        <v>400</v>
      </c>
      <c r="P899" s="10">
        <v>500</v>
      </c>
      <c r="Q899" s="10">
        <v>400</v>
      </c>
      <c r="R899" s="10">
        <v>400</v>
      </c>
      <c r="S899" s="10">
        <v>500</v>
      </c>
      <c r="T899" s="10">
        <v>400</v>
      </c>
      <c r="U899" s="10">
        <v>500</v>
      </c>
      <c r="V899" s="10">
        <v>400</v>
      </c>
      <c r="W899" s="10">
        <v>400</v>
      </c>
      <c r="X899" s="10">
        <v>500</v>
      </c>
      <c r="Y899" s="10">
        <f t="shared" si="15"/>
        <v>5300</v>
      </c>
    </row>
    <row r="900" spans="1:25" customFormat="1" ht="11.25" customHeight="1">
      <c r="A900" s="261">
        <v>2014</v>
      </c>
      <c r="B900" s="261" t="s">
        <v>573</v>
      </c>
      <c r="C900" s="9" t="s">
        <v>16</v>
      </c>
      <c r="D900" s="9" t="s">
        <v>16</v>
      </c>
      <c r="E900" s="9" t="s">
        <v>45</v>
      </c>
      <c r="F900" s="9" t="s">
        <v>147</v>
      </c>
      <c r="G900" s="9" t="s">
        <v>439</v>
      </c>
      <c r="H900" s="9" t="s">
        <v>45</v>
      </c>
      <c r="I900" s="9" t="s">
        <v>45</v>
      </c>
      <c r="J900" s="9" t="s">
        <v>218</v>
      </c>
      <c r="K900" s="9"/>
      <c r="L900" s="9"/>
      <c r="M900" s="10">
        <v>3380</v>
      </c>
      <c r="N900" s="10"/>
      <c r="O900" s="10"/>
      <c r="P900" s="10">
        <v>3380</v>
      </c>
      <c r="Q900" s="10"/>
      <c r="R900" s="10"/>
      <c r="S900" s="10">
        <v>3380</v>
      </c>
      <c r="T900" s="10"/>
      <c r="U900" s="10"/>
      <c r="V900" s="10">
        <v>3380</v>
      </c>
      <c r="W900" s="10"/>
      <c r="X900" s="10"/>
      <c r="Y900" s="10">
        <f t="shared" si="15"/>
        <v>13520</v>
      </c>
    </row>
    <row r="901" spans="1:25" customFormat="1" ht="11.25" customHeight="1">
      <c r="A901" s="261">
        <v>2014</v>
      </c>
      <c r="B901" s="261" t="s">
        <v>573</v>
      </c>
      <c r="C901" s="9" t="s">
        <v>16</v>
      </c>
      <c r="D901" s="9" t="s">
        <v>16</v>
      </c>
      <c r="E901" s="9" t="s">
        <v>29</v>
      </c>
      <c r="F901" s="9" t="s">
        <v>147</v>
      </c>
      <c r="G901" s="9" t="s">
        <v>439</v>
      </c>
      <c r="H901" s="9" t="s">
        <v>29</v>
      </c>
      <c r="I901" s="9" t="s">
        <v>29</v>
      </c>
      <c r="J901" s="9" t="s">
        <v>30</v>
      </c>
      <c r="K901" s="9"/>
      <c r="L901" s="9"/>
      <c r="M901" s="10">
        <v>4050</v>
      </c>
      <c r="N901" s="10">
        <v>2500</v>
      </c>
      <c r="O901" s="10">
        <v>2900</v>
      </c>
      <c r="P901" s="10">
        <v>14500</v>
      </c>
      <c r="Q901" s="10">
        <v>5100</v>
      </c>
      <c r="R901" s="10">
        <v>2500</v>
      </c>
      <c r="S901" s="10">
        <v>2900</v>
      </c>
      <c r="T901" s="10">
        <v>3300</v>
      </c>
      <c r="U901" s="10">
        <v>3700</v>
      </c>
      <c r="V901" s="10">
        <v>22000</v>
      </c>
      <c r="W901" s="10">
        <v>4000</v>
      </c>
      <c r="X901" s="10">
        <v>4000</v>
      </c>
      <c r="Y901" s="10">
        <f t="shared" si="15"/>
        <v>71450</v>
      </c>
    </row>
    <row r="902" spans="1:25" customFormat="1" ht="11.25" customHeight="1">
      <c r="A902" s="261">
        <v>2014</v>
      </c>
      <c r="B902" s="261" t="s">
        <v>574</v>
      </c>
      <c r="C902" s="9" t="s">
        <v>16</v>
      </c>
      <c r="D902" s="9" t="s">
        <v>16</v>
      </c>
      <c r="E902" s="9" t="s">
        <v>148</v>
      </c>
      <c r="F902" s="9" t="s">
        <v>233</v>
      </c>
      <c r="G902" s="9" t="s">
        <v>439</v>
      </c>
      <c r="H902" s="9" t="s">
        <v>148</v>
      </c>
      <c r="I902" s="9" t="s">
        <v>148</v>
      </c>
      <c r="J902" s="9" t="s">
        <v>148</v>
      </c>
      <c r="K902" s="9"/>
      <c r="L902" s="9"/>
      <c r="M902" s="10">
        <v>141225</v>
      </c>
      <c r="N902" s="10">
        <v>159444</v>
      </c>
      <c r="O902" s="157">
        <v>312807.17396222224</v>
      </c>
      <c r="P902" s="157">
        <v>286852.6839577778</v>
      </c>
      <c r="Q902" s="157">
        <v>375870.06049999996</v>
      </c>
      <c r="R902" s="157">
        <v>386510.84573555557</v>
      </c>
      <c r="S902" s="157">
        <v>311188.95165111113</v>
      </c>
      <c r="T902" s="157">
        <v>177013.80953999999</v>
      </c>
      <c r="U902" s="157">
        <v>158838</v>
      </c>
      <c r="V902" s="157">
        <v>143520</v>
      </c>
      <c r="W902" s="157">
        <v>143520</v>
      </c>
      <c r="X902" s="157">
        <v>149829</v>
      </c>
      <c r="Y902" s="10">
        <f t="shared" si="15"/>
        <v>2746619.5253466666</v>
      </c>
    </row>
    <row r="903" spans="1:25" customFormat="1" ht="11.25" customHeight="1">
      <c r="A903" s="261">
        <v>2014</v>
      </c>
      <c r="B903" s="261" t="s">
        <v>573</v>
      </c>
      <c r="C903" s="9" t="s">
        <v>16</v>
      </c>
      <c r="D903" s="9" t="s">
        <v>16</v>
      </c>
      <c r="E903" s="9" t="s">
        <v>27</v>
      </c>
      <c r="F903" s="9" t="s">
        <v>233</v>
      </c>
      <c r="G903" s="9" t="s">
        <v>439</v>
      </c>
      <c r="H903" s="9" t="s">
        <v>27</v>
      </c>
      <c r="I903" s="9" t="s">
        <v>27</v>
      </c>
      <c r="J903" s="9" t="s">
        <v>28</v>
      </c>
      <c r="K903" s="9"/>
      <c r="L903" s="9"/>
      <c r="M903" s="10">
        <v>200</v>
      </c>
      <c r="N903" s="10">
        <v>300</v>
      </c>
      <c r="O903" s="10">
        <v>500</v>
      </c>
      <c r="P903" s="10">
        <v>500</v>
      </c>
      <c r="Q903" s="10">
        <v>500</v>
      </c>
      <c r="R903" s="10">
        <v>500</v>
      </c>
      <c r="S903" s="10">
        <v>500</v>
      </c>
      <c r="T903" s="10">
        <v>300</v>
      </c>
      <c r="U903" s="10">
        <v>300</v>
      </c>
      <c r="V903" s="10">
        <v>300</v>
      </c>
      <c r="W903" s="10">
        <v>300</v>
      </c>
      <c r="X903" s="10">
        <v>300</v>
      </c>
      <c r="Y903" s="10">
        <f t="shared" si="15"/>
        <v>4500</v>
      </c>
    </row>
    <row r="904" spans="1:25" customFormat="1" ht="11.25" customHeight="1">
      <c r="A904" s="261">
        <v>2014</v>
      </c>
      <c r="B904" s="261" t="s">
        <v>573</v>
      </c>
      <c r="C904" s="9" t="s">
        <v>16</v>
      </c>
      <c r="D904" s="9" t="s">
        <v>16</v>
      </c>
      <c r="E904" s="9" t="s">
        <v>57</v>
      </c>
      <c r="F904" s="9" t="s">
        <v>233</v>
      </c>
      <c r="G904" s="9" t="s">
        <v>439</v>
      </c>
      <c r="H904" s="9" t="s">
        <v>57</v>
      </c>
      <c r="I904" s="9" t="s">
        <v>57</v>
      </c>
      <c r="J904" s="9" t="s">
        <v>261</v>
      </c>
      <c r="K904" s="9"/>
      <c r="L904" s="9"/>
      <c r="M904" s="10">
        <v>5000</v>
      </c>
      <c r="N904" s="10">
        <v>4000</v>
      </c>
      <c r="O904" s="10">
        <v>11000</v>
      </c>
      <c r="P904" s="10">
        <v>15000</v>
      </c>
      <c r="Q904" s="10">
        <v>16000</v>
      </c>
      <c r="R904" s="10">
        <v>20000</v>
      </c>
      <c r="S904" s="10">
        <v>18000</v>
      </c>
      <c r="T904" s="10">
        <v>13000</v>
      </c>
      <c r="U904" s="10">
        <v>5500</v>
      </c>
      <c r="V904" s="10">
        <v>5500</v>
      </c>
      <c r="W904" s="10">
        <v>5500</v>
      </c>
      <c r="X904" s="10">
        <v>5500</v>
      </c>
      <c r="Y904" s="10">
        <f t="shared" si="15"/>
        <v>124000</v>
      </c>
    </row>
    <row r="905" spans="1:25" customFormat="1" ht="11.25" customHeight="1">
      <c r="A905" s="261">
        <v>2014</v>
      </c>
      <c r="B905" s="261" t="s">
        <v>573</v>
      </c>
      <c r="C905" s="9" t="s">
        <v>16</v>
      </c>
      <c r="D905" s="9" t="s">
        <v>16</v>
      </c>
      <c r="E905" s="9" t="s">
        <v>57</v>
      </c>
      <c r="F905" s="9" t="s">
        <v>233</v>
      </c>
      <c r="G905" s="9" t="s">
        <v>439</v>
      </c>
      <c r="H905" s="9" t="s">
        <v>57</v>
      </c>
      <c r="I905" s="9" t="s">
        <v>57</v>
      </c>
      <c r="J905" s="9" t="s">
        <v>425</v>
      </c>
      <c r="K905" s="9"/>
      <c r="L905" s="9"/>
      <c r="M905" s="10"/>
      <c r="N905" s="10"/>
      <c r="O905" s="10">
        <v>2000</v>
      </c>
      <c r="P905" s="10">
        <v>2000</v>
      </c>
      <c r="Q905" s="10">
        <v>2000</v>
      </c>
      <c r="R905" s="10">
        <v>2000</v>
      </c>
      <c r="S905" s="10">
        <v>6000</v>
      </c>
      <c r="T905" s="10"/>
      <c r="U905" s="10"/>
      <c r="V905" s="10"/>
      <c r="W905" s="10"/>
      <c r="X905" s="10"/>
      <c r="Y905" s="10">
        <f t="shared" si="15"/>
        <v>14000</v>
      </c>
    </row>
    <row r="906" spans="1:25" customFormat="1" ht="11.25" customHeight="1">
      <c r="A906" s="261">
        <v>2014</v>
      </c>
      <c r="B906" s="261" t="s">
        <v>573</v>
      </c>
      <c r="C906" s="9" t="s">
        <v>16</v>
      </c>
      <c r="D906" s="9" t="s">
        <v>16</v>
      </c>
      <c r="E906" s="9" t="s">
        <v>149</v>
      </c>
      <c r="F906" s="9" t="s">
        <v>233</v>
      </c>
      <c r="G906" s="9" t="s">
        <v>439</v>
      </c>
      <c r="H906" s="9" t="s">
        <v>149</v>
      </c>
      <c r="I906" s="9" t="s">
        <v>149</v>
      </c>
      <c r="J906" s="9" t="s">
        <v>150</v>
      </c>
      <c r="K906" s="9"/>
      <c r="L906" s="9"/>
      <c r="M906" s="10">
        <v>41240.800000000003</v>
      </c>
      <c r="N906" s="10">
        <v>86522.69</v>
      </c>
      <c r="O906" s="10">
        <v>184451.84</v>
      </c>
      <c r="P906" s="10">
        <v>184451.84</v>
      </c>
      <c r="Q906" s="10">
        <v>184451.84</v>
      </c>
      <c r="R906" s="10">
        <v>184451.84</v>
      </c>
      <c r="S906" s="10">
        <v>111236.24</v>
      </c>
      <c r="T906" s="10">
        <v>86522.69</v>
      </c>
      <c r="U906" s="10">
        <v>39871.089999999997</v>
      </c>
      <c r="V906" s="10">
        <v>39871.089999999997</v>
      </c>
      <c r="W906" s="10">
        <v>39871.089999999997</v>
      </c>
      <c r="X906" s="10">
        <v>39871.089999999997</v>
      </c>
      <c r="Y906" s="10">
        <f t="shared" si="15"/>
        <v>1222814.1400000004</v>
      </c>
    </row>
    <row r="907" spans="1:25" customFormat="1" ht="11.25" customHeight="1">
      <c r="A907" s="261">
        <v>2014</v>
      </c>
      <c r="B907" s="261" t="s">
        <v>573</v>
      </c>
      <c r="C907" s="9" t="s">
        <v>16</v>
      </c>
      <c r="D907" s="9" t="s">
        <v>16</v>
      </c>
      <c r="E907" s="9" t="s">
        <v>18</v>
      </c>
      <c r="F907" s="9" t="s">
        <v>233</v>
      </c>
      <c r="G907" s="9" t="s">
        <v>439</v>
      </c>
      <c r="H907" s="9" t="s">
        <v>18</v>
      </c>
      <c r="I907" s="9" t="s">
        <v>18</v>
      </c>
      <c r="J907" s="9" t="s">
        <v>91</v>
      </c>
      <c r="K907" s="9"/>
      <c r="L907" s="9"/>
      <c r="M907" s="10">
        <v>1000</v>
      </c>
      <c r="N907" s="10">
        <v>5000</v>
      </c>
      <c r="O907" s="10">
        <v>12000</v>
      </c>
      <c r="P907" s="10">
        <v>7000</v>
      </c>
      <c r="Q907" s="10">
        <v>8000</v>
      </c>
      <c r="R907" s="10">
        <v>6000</v>
      </c>
      <c r="S907" s="10">
        <v>7000</v>
      </c>
      <c r="T907" s="10">
        <v>4000</v>
      </c>
      <c r="U907" s="10">
        <v>500</v>
      </c>
      <c r="V907" s="10">
        <v>500</v>
      </c>
      <c r="W907" s="10">
        <v>500</v>
      </c>
      <c r="X907" s="10">
        <v>500</v>
      </c>
      <c r="Y907" s="10">
        <f t="shared" si="15"/>
        <v>52000</v>
      </c>
    </row>
    <row r="908" spans="1:25" customFormat="1" ht="11.25" customHeight="1">
      <c r="A908" s="261">
        <v>2014</v>
      </c>
      <c r="B908" s="261" t="s">
        <v>573</v>
      </c>
      <c r="C908" s="9" t="s">
        <v>16</v>
      </c>
      <c r="D908" s="9" t="s">
        <v>16</v>
      </c>
      <c r="E908" s="9" t="s">
        <v>29</v>
      </c>
      <c r="F908" s="9" t="s">
        <v>233</v>
      </c>
      <c r="G908" s="9" t="s">
        <v>439</v>
      </c>
      <c r="H908" s="9" t="s">
        <v>29</v>
      </c>
      <c r="I908" s="9" t="s">
        <v>29</v>
      </c>
      <c r="J908" s="9" t="s">
        <v>30</v>
      </c>
      <c r="K908" s="9"/>
      <c r="L908" s="9"/>
      <c r="M908" s="10">
        <v>1500</v>
      </c>
      <c r="N908" s="10">
        <v>1500</v>
      </c>
      <c r="O908" s="10">
        <v>2000</v>
      </c>
      <c r="P908" s="10">
        <v>2000</v>
      </c>
      <c r="Q908" s="10">
        <v>2000</v>
      </c>
      <c r="R908" s="10">
        <v>2000</v>
      </c>
      <c r="S908" s="10">
        <v>4000</v>
      </c>
      <c r="T908" s="10">
        <v>3000</v>
      </c>
      <c r="U908" s="10">
        <v>1000</v>
      </c>
      <c r="V908" s="10">
        <v>1000</v>
      </c>
      <c r="W908" s="10">
        <v>1000</v>
      </c>
      <c r="X908" s="10">
        <v>1000</v>
      </c>
      <c r="Y908" s="10">
        <f t="shared" si="15"/>
        <v>22000</v>
      </c>
    </row>
    <row r="909" spans="1:25" s="9" customFormat="1" ht="11.25" customHeight="1">
      <c r="A909" s="9">
        <v>2014</v>
      </c>
      <c r="B909" s="5" t="s">
        <v>447</v>
      </c>
      <c r="C909" s="5" t="s">
        <v>447</v>
      </c>
      <c r="D909" s="5" t="s">
        <v>447</v>
      </c>
      <c r="E909" s="5" t="s">
        <v>447</v>
      </c>
      <c r="F909" s="5" t="s">
        <v>447</v>
      </c>
      <c r="G909" s="5" t="s">
        <v>439</v>
      </c>
      <c r="H909" s="5" t="s">
        <v>447</v>
      </c>
      <c r="I909" s="5" t="s">
        <v>447</v>
      </c>
      <c r="J909" s="5" t="s">
        <v>447</v>
      </c>
      <c r="K909" s="6"/>
      <c r="L909" s="7"/>
      <c r="M909" s="11">
        <v>89308.793082435761</v>
      </c>
      <c r="N909" s="11">
        <v>41668.068311090406</v>
      </c>
      <c r="O909" s="11">
        <v>248611.80636673135</v>
      </c>
      <c r="P909" s="11">
        <v>881514.91333207663</v>
      </c>
      <c r="Q909" s="11">
        <v>1070772.1002924668</v>
      </c>
      <c r="R909" s="11">
        <v>1083878.0269811363</v>
      </c>
      <c r="S909" s="11">
        <v>528927.40549009561</v>
      </c>
      <c r="T909" s="11">
        <v>777918.55010775663</v>
      </c>
      <c r="U909" s="11">
        <v>185233.05376491934</v>
      </c>
      <c r="V909" s="11">
        <v>122292.35931064123</v>
      </c>
      <c r="W909" s="11">
        <v>117096.29163320106</v>
      </c>
      <c r="X909" s="11">
        <v>99407.925354013045</v>
      </c>
      <c r="Y909" s="11">
        <f t="shared" ref="Y909:Y915" si="16">SUM(M909:X909)</f>
        <v>5246629.2940265639</v>
      </c>
    </row>
    <row r="910" spans="1:25" s="9" customFormat="1" ht="11.25" customHeight="1">
      <c r="A910" s="9">
        <v>2014</v>
      </c>
      <c r="B910" s="5" t="s">
        <v>448</v>
      </c>
      <c r="C910" s="5" t="s">
        <v>448</v>
      </c>
      <c r="D910" s="5" t="s">
        <v>448</v>
      </c>
      <c r="E910" s="5" t="s">
        <v>448</v>
      </c>
      <c r="F910" s="5" t="s">
        <v>448</v>
      </c>
      <c r="G910" s="5" t="s">
        <v>245</v>
      </c>
      <c r="H910" s="5" t="s">
        <v>448</v>
      </c>
      <c r="I910" s="5" t="s">
        <v>448</v>
      </c>
      <c r="J910" s="5" t="s">
        <v>448</v>
      </c>
      <c r="K910" s="6"/>
      <c r="L910" s="7"/>
      <c r="M910" s="11">
        <v>4155146.0499999896</v>
      </c>
      <c r="N910" s="11">
        <v>4266901.5341240773</v>
      </c>
      <c r="O910" s="11">
        <v>4896922.815433085</v>
      </c>
      <c r="P910" s="11">
        <v>13986644.673651565</v>
      </c>
      <c r="Q910" s="11">
        <v>28176115.883904442</v>
      </c>
      <c r="R910" s="11">
        <v>28978467.608106419</v>
      </c>
      <c r="S910" s="11">
        <v>25357507.671278704</v>
      </c>
      <c r="T910" s="11">
        <v>14622240.388985595</v>
      </c>
      <c r="U910" s="11">
        <v>4237022.8035653001</v>
      </c>
      <c r="V910" s="11">
        <v>3595930.3924166164</v>
      </c>
      <c r="W910" s="11">
        <v>3737261.8406565329</v>
      </c>
      <c r="X910" s="11">
        <v>3879424.4833371313</v>
      </c>
      <c r="Y910" s="11">
        <f t="shared" si="16"/>
        <v>139889586.14545944</v>
      </c>
    </row>
    <row r="911" spans="1:25" s="9" customFormat="1" ht="11.25" customHeight="1">
      <c r="A911" s="9">
        <v>2014</v>
      </c>
      <c r="B911" s="5" t="s">
        <v>448</v>
      </c>
      <c r="C911" s="5" t="s">
        <v>448</v>
      </c>
      <c r="D911" s="5" t="s">
        <v>448</v>
      </c>
      <c r="E911" s="5" t="s">
        <v>448</v>
      </c>
      <c r="F911" s="5" t="s">
        <v>448</v>
      </c>
      <c r="G911" s="5" t="s">
        <v>442</v>
      </c>
      <c r="H911" s="5" t="s">
        <v>448</v>
      </c>
      <c r="I911" s="5" t="s">
        <v>448</v>
      </c>
      <c r="J911" s="5" t="s">
        <v>448</v>
      </c>
      <c r="K911" s="6"/>
      <c r="L911" s="7"/>
      <c r="M911" s="11">
        <v>10929160.429999985</v>
      </c>
      <c r="N911" s="11">
        <v>12364820.005359974</v>
      </c>
      <c r="O911" s="11">
        <v>11955088.070524335</v>
      </c>
      <c r="P911" s="11">
        <v>15534603.394075124</v>
      </c>
      <c r="Q911" s="11">
        <v>25717585.547404651</v>
      </c>
      <c r="R911" s="11">
        <v>28378631.462380871</v>
      </c>
      <c r="S911" s="11">
        <v>24282605.61674583</v>
      </c>
      <c r="T911" s="11">
        <v>19778975.161181945</v>
      </c>
      <c r="U911" s="11">
        <v>12333381.004426062</v>
      </c>
      <c r="V911" s="11">
        <v>11649208.14764869</v>
      </c>
      <c r="W911" s="11">
        <v>11753091.656376231</v>
      </c>
      <c r="X911" s="11">
        <v>12136614.04963156</v>
      </c>
      <c r="Y911" s="11">
        <f t="shared" si="16"/>
        <v>196813764.54575527</v>
      </c>
    </row>
    <row r="912" spans="1:25" s="9" customFormat="1" ht="11.25" customHeight="1">
      <c r="A912" s="9">
        <v>2014</v>
      </c>
      <c r="B912" s="5" t="s">
        <v>449</v>
      </c>
      <c r="C912" s="5" t="s">
        <v>449</v>
      </c>
      <c r="D912" s="5" t="s">
        <v>449</v>
      </c>
      <c r="E912" s="5" t="s">
        <v>449</v>
      </c>
      <c r="F912" s="5" t="s">
        <v>450</v>
      </c>
      <c r="G912" s="5" t="s">
        <v>245</v>
      </c>
      <c r="H912" s="5" t="s">
        <v>449</v>
      </c>
      <c r="I912" s="5" t="s">
        <v>449</v>
      </c>
      <c r="J912" s="5" t="s">
        <v>449</v>
      </c>
      <c r="K912" s="6"/>
      <c r="L912" s="7"/>
      <c r="M912" s="11">
        <v>5568536.4726330517</v>
      </c>
      <c r="N912" s="11">
        <v>5749061.5591600277</v>
      </c>
      <c r="O912" s="11">
        <v>6602829.6805586657</v>
      </c>
      <c r="P912" s="11">
        <v>18870504.9113301</v>
      </c>
      <c r="Q912" s="11">
        <v>38011593.200822383</v>
      </c>
      <c r="R912" s="11">
        <v>39125878.872913778</v>
      </c>
      <c r="S912" s="11">
        <v>34285577.030254908</v>
      </c>
      <c r="T912" s="11">
        <v>19768495.348840792</v>
      </c>
      <c r="U912" s="11">
        <v>5707872.1135649066</v>
      </c>
      <c r="V912" s="11">
        <v>4846815.7244759621</v>
      </c>
      <c r="W912" s="11">
        <v>5041109.4719303874</v>
      </c>
      <c r="X912" s="11">
        <v>5231538.3505134964</v>
      </c>
      <c r="Y912" s="11">
        <f t="shared" si="16"/>
        <v>188809812.73699844</v>
      </c>
    </row>
    <row r="913" spans="1:25" s="9" customFormat="1" ht="11.25" customHeight="1">
      <c r="A913" s="9">
        <v>2014</v>
      </c>
      <c r="B913" s="5" t="s">
        <v>449</v>
      </c>
      <c r="C913" s="5" t="s">
        <v>449</v>
      </c>
      <c r="D913" s="5" t="s">
        <v>449</v>
      </c>
      <c r="E913" s="5" t="s">
        <v>449</v>
      </c>
      <c r="F913" s="5" t="s">
        <v>451</v>
      </c>
      <c r="G913" s="5" t="s">
        <v>442</v>
      </c>
      <c r="H913" s="5" t="s">
        <v>449</v>
      </c>
      <c r="I913" s="5" t="s">
        <v>449</v>
      </c>
      <c r="J913" s="5" t="s">
        <v>449</v>
      </c>
      <c r="K913" s="6"/>
      <c r="L913" s="7"/>
      <c r="M913" s="11">
        <v>10963066.987022087</v>
      </c>
      <c r="N913" s="11">
        <v>12747237.118927825</v>
      </c>
      <c r="O913" s="11">
        <v>12324833.062396239</v>
      </c>
      <c r="P913" s="11">
        <v>16015055.045438258</v>
      </c>
      <c r="Q913" s="11">
        <v>26512974.791138846</v>
      </c>
      <c r="R913" s="11">
        <v>29256321.095238149</v>
      </c>
      <c r="S913" s="11">
        <v>25033614.037882265</v>
      </c>
      <c r="T913" s="11">
        <v>20390696.04245564</v>
      </c>
      <c r="U913" s="11">
        <v>12714825.777758829</v>
      </c>
      <c r="V913" s="11">
        <v>12009492.935720269</v>
      </c>
      <c r="W913" s="11">
        <v>12116589.3364703</v>
      </c>
      <c r="X913" s="11">
        <v>12511973.247042831</v>
      </c>
      <c r="Y913" s="11">
        <f t="shared" si="16"/>
        <v>202596679.47749156</v>
      </c>
    </row>
    <row r="914" spans="1:25" s="9" customFormat="1" ht="11.25" customHeight="1">
      <c r="A914" s="9">
        <v>2014</v>
      </c>
      <c r="B914" s="5" t="s">
        <v>452</v>
      </c>
      <c r="C914" s="5" t="s">
        <v>452</v>
      </c>
      <c r="D914" s="5" t="s">
        <v>452</v>
      </c>
      <c r="E914" s="5" t="s">
        <v>452</v>
      </c>
      <c r="F914" s="5" t="s">
        <v>452</v>
      </c>
      <c r="G914" s="5" t="s">
        <v>245</v>
      </c>
      <c r="H914" s="5" t="s">
        <v>452</v>
      </c>
      <c r="I914" s="5" t="s">
        <v>452</v>
      </c>
      <c r="J914" s="5" t="s">
        <v>452</v>
      </c>
      <c r="K914" s="6"/>
      <c r="L914" s="7"/>
      <c r="M914" s="11">
        <v>199368.43799999973</v>
      </c>
      <c r="N914" s="11">
        <v>194303.3993234045</v>
      </c>
      <c r="O914" s="11">
        <v>163123.80217330449</v>
      </c>
      <c r="P914" s="11">
        <v>424609.94619849493</v>
      </c>
      <c r="Q914" s="11">
        <v>841445.60643159295</v>
      </c>
      <c r="R914" s="11">
        <v>851075.98552457104</v>
      </c>
      <c r="S914" s="11">
        <v>746935.98720489268</v>
      </c>
      <c r="T914" s="11">
        <v>434576.37134840386</v>
      </c>
      <c r="U914" s="11">
        <v>148103.5743263484</v>
      </c>
      <c r="V914" s="11">
        <v>133432.37832785863</v>
      </c>
      <c r="W914" s="11">
        <v>134325.90143307435</v>
      </c>
      <c r="X914" s="11">
        <v>141020.83977354626</v>
      </c>
      <c r="Y914" s="11">
        <f t="shared" si="16"/>
        <v>4412322.2300654911</v>
      </c>
    </row>
    <row r="915" spans="1:25" s="9" customFormat="1" ht="11.25" customHeight="1">
      <c r="A915" s="9">
        <v>2014</v>
      </c>
      <c r="B915" s="5" t="s">
        <v>452</v>
      </c>
      <c r="C915" s="5" t="s">
        <v>452</v>
      </c>
      <c r="D915" s="5" t="s">
        <v>452</v>
      </c>
      <c r="E915" s="5" t="s">
        <v>452</v>
      </c>
      <c r="F915" s="5" t="s">
        <v>452</v>
      </c>
      <c r="G915" s="5" t="s">
        <v>442</v>
      </c>
      <c r="H915" s="5" t="s">
        <v>452</v>
      </c>
      <c r="I915" s="5" t="s">
        <v>452</v>
      </c>
      <c r="J915" s="5" t="s">
        <v>452</v>
      </c>
      <c r="K915" s="6"/>
      <c r="L915" s="7"/>
      <c r="M915" s="11">
        <v>335283.1859999994</v>
      </c>
      <c r="N915" s="11">
        <v>389021.67943320808</v>
      </c>
      <c r="O915" s="11">
        <v>296097.41835440131</v>
      </c>
      <c r="P915" s="11">
        <v>364646.38213095843</v>
      </c>
      <c r="Q915" s="11">
        <v>565603.7082365274</v>
      </c>
      <c r="R915" s="11">
        <v>644092.69896149321</v>
      </c>
      <c r="S915" s="11">
        <v>549688.46471284202</v>
      </c>
      <c r="T915" s="11">
        <v>451048.1670192217</v>
      </c>
      <c r="U915" s="11">
        <v>301693.30082925275</v>
      </c>
      <c r="V915" s="11">
        <v>286834.33260040457</v>
      </c>
      <c r="W915" s="11">
        <v>281998.03060851258</v>
      </c>
      <c r="X915" s="11">
        <v>294053.20247795025</v>
      </c>
      <c r="Y915" s="11">
        <f t="shared" si="16"/>
        <v>4760060.5713647725</v>
      </c>
    </row>
    <row r="916" spans="1:25" s="9" customFormat="1" ht="11.25" customHeight="1">
      <c r="A916" s="9">
        <v>2014</v>
      </c>
      <c r="B916" s="5" t="s">
        <v>453</v>
      </c>
      <c r="C916" s="5" t="s">
        <v>453</v>
      </c>
      <c r="D916" s="5" t="s">
        <v>453</v>
      </c>
      <c r="E916" s="5" t="s">
        <v>453</v>
      </c>
      <c r="F916" s="5" t="s">
        <v>453</v>
      </c>
      <c r="G916" s="5" t="s">
        <v>439</v>
      </c>
      <c r="H916" s="5" t="s">
        <v>453</v>
      </c>
      <c r="I916" s="5" t="s">
        <v>453</v>
      </c>
      <c r="J916" s="5" t="s">
        <v>453</v>
      </c>
      <c r="K916" s="6"/>
      <c r="L916" s="7"/>
      <c r="M916" s="11">
        <v>526215.48991453694</v>
      </c>
      <c r="N916" s="11">
        <v>596693.40052832966</v>
      </c>
      <c r="O916" s="11">
        <v>1451989.8991080939</v>
      </c>
      <c r="P916" s="11">
        <v>1425107.6636888455</v>
      </c>
      <c r="Q916" s="11">
        <v>1600597.8111966532</v>
      </c>
      <c r="R916" s="11">
        <v>1638448.1818577987</v>
      </c>
      <c r="S916" s="11">
        <v>1342334.6954078367</v>
      </c>
      <c r="T916" s="11">
        <v>1119449.5918415356</v>
      </c>
      <c r="U916" s="11">
        <v>657677.25053454004</v>
      </c>
      <c r="V916" s="11">
        <v>578197.9019088049</v>
      </c>
      <c r="W916" s="11">
        <v>584456.48213366815</v>
      </c>
      <c r="X916" s="11">
        <v>592482.07284735865</v>
      </c>
      <c r="Y916" s="11">
        <f>SUM(M916:X916)</f>
        <v>12113650.440968001</v>
      </c>
    </row>
    <row r="917" spans="1:25" ht="15">
      <c r="A917">
        <v>2013</v>
      </c>
      <c r="B917" t="s">
        <v>573</v>
      </c>
      <c r="C917" t="s">
        <v>7</v>
      </c>
      <c r="D917" t="s">
        <v>7</v>
      </c>
      <c r="E917" t="s">
        <v>25</v>
      </c>
      <c r="F917" t="s">
        <v>220</v>
      </c>
      <c r="G917" t="s">
        <v>439</v>
      </c>
      <c r="H917" t="s">
        <v>25</v>
      </c>
      <c r="I917" t="s">
        <v>25</v>
      </c>
      <c r="J917" t="s">
        <v>26</v>
      </c>
      <c r="K917"/>
      <c r="L917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>
        <v>450</v>
      </c>
      <c r="X917" s="12">
        <v>450</v>
      </c>
      <c r="Y917" s="12">
        <f>SUM(M917:X917)</f>
        <v>900</v>
      </c>
    </row>
    <row r="918" spans="1:25" ht="15">
      <c r="A918">
        <v>2013</v>
      </c>
      <c r="B918" t="s">
        <v>573</v>
      </c>
      <c r="C918" t="s">
        <v>7</v>
      </c>
      <c r="D918" t="s">
        <v>7</v>
      </c>
      <c r="E918" t="s">
        <v>25</v>
      </c>
      <c r="F918" t="s">
        <v>234</v>
      </c>
      <c r="G918" t="s">
        <v>439</v>
      </c>
      <c r="H918" t="s">
        <v>25</v>
      </c>
      <c r="I918" t="s">
        <v>25</v>
      </c>
      <c r="J918" t="s">
        <v>36</v>
      </c>
      <c r="K918"/>
      <c r="L918"/>
      <c r="M918" s="12">
        <v>800</v>
      </c>
      <c r="N918" s="12">
        <v>800</v>
      </c>
      <c r="O918" s="12">
        <v>800</v>
      </c>
      <c r="P918" s="12">
        <v>800</v>
      </c>
      <c r="Q918" s="12">
        <v>800</v>
      </c>
      <c r="R918" s="12">
        <v>116260.15</v>
      </c>
      <c r="S918" s="12">
        <v>114820.15</v>
      </c>
      <c r="T918" s="12">
        <v>8633.6200000000008</v>
      </c>
      <c r="U918" s="12">
        <v>114020.15</v>
      </c>
      <c r="V918" s="12">
        <v>114020.15</v>
      </c>
      <c r="W918" s="12">
        <v>114021</v>
      </c>
      <c r="X918" s="12">
        <v>114021</v>
      </c>
      <c r="Y918" s="12">
        <f t="shared" ref="Y918:Y981" si="17">SUM(M918:X918)</f>
        <v>699796.22</v>
      </c>
    </row>
    <row r="919" spans="1:25" ht="15">
      <c r="A919">
        <v>2013</v>
      </c>
      <c r="B919" t="s">
        <v>573</v>
      </c>
      <c r="C919" t="s">
        <v>7</v>
      </c>
      <c r="D919" t="s">
        <v>7</v>
      </c>
      <c r="E919" t="s">
        <v>25</v>
      </c>
      <c r="F919" t="s">
        <v>234</v>
      </c>
      <c r="G919" t="s">
        <v>439</v>
      </c>
      <c r="H919" t="s">
        <v>25</v>
      </c>
      <c r="I919" t="s">
        <v>25</v>
      </c>
      <c r="J919" t="s">
        <v>26</v>
      </c>
      <c r="K919"/>
      <c r="L919"/>
      <c r="M919" s="12">
        <v>222552.01</v>
      </c>
      <c r="N919" s="12">
        <v>117826</v>
      </c>
      <c r="O919" s="12">
        <v>104226</v>
      </c>
      <c r="P919" s="12">
        <v>106145.52</v>
      </c>
      <c r="Q919" s="12">
        <v>169320.49</v>
      </c>
      <c r="R919" s="12">
        <v>52961.02</v>
      </c>
      <c r="S919" s="12">
        <v>111392.96000000001</v>
      </c>
      <c r="T919" s="12">
        <v>166694.87</v>
      </c>
      <c r="U919" s="12">
        <v>62060.55</v>
      </c>
      <c r="V919" s="12">
        <v>64040.45</v>
      </c>
      <c r="W919" s="12">
        <v>64680</v>
      </c>
      <c r="X919" s="12">
        <v>64700</v>
      </c>
      <c r="Y919" s="12">
        <f t="shared" si="17"/>
        <v>1306599.8700000001</v>
      </c>
    </row>
    <row r="920" spans="1:25" ht="15">
      <c r="A920">
        <v>2013</v>
      </c>
      <c r="B920" t="s">
        <v>573</v>
      </c>
      <c r="C920" t="s">
        <v>7</v>
      </c>
      <c r="D920" t="s">
        <v>7</v>
      </c>
      <c r="E920" t="s">
        <v>25</v>
      </c>
      <c r="F920" t="s">
        <v>166</v>
      </c>
      <c r="G920" t="s">
        <v>439</v>
      </c>
      <c r="H920" t="s">
        <v>25</v>
      </c>
      <c r="I920" t="s">
        <v>25</v>
      </c>
      <c r="J920" t="s">
        <v>26</v>
      </c>
      <c r="K920"/>
      <c r="L920"/>
      <c r="M920" s="12">
        <v>2900</v>
      </c>
      <c r="N920" s="12">
        <v>2900</v>
      </c>
      <c r="O920" s="12">
        <v>2900</v>
      </c>
      <c r="P920" s="12">
        <v>2900</v>
      </c>
      <c r="Q920" s="12">
        <v>2900</v>
      </c>
      <c r="R920" s="12">
        <v>15000</v>
      </c>
      <c r="S920" s="12">
        <v>6500</v>
      </c>
      <c r="T920" s="12">
        <v>6500</v>
      </c>
      <c r="U920" s="12">
        <v>6500</v>
      </c>
      <c r="V920" s="12">
        <v>6500</v>
      </c>
      <c r="W920" s="12">
        <v>6500</v>
      </c>
      <c r="X920" s="12">
        <v>6500</v>
      </c>
      <c r="Y920" s="12">
        <f t="shared" si="17"/>
        <v>68500</v>
      </c>
    </row>
    <row r="921" spans="1:25" ht="15">
      <c r="A921">
        <v>2013</v>
      </c>
      <c r="B921" t="s">
        <v>573</v>
      </c>
      <c r="C921" t="s">
        <v>7</v>
      </c>
      <c r="D921" t="s">
        <v>7</v>
      </c>
      <c r="E921" t="s">
        <v>25</v>
      </c>
      <c r="F921" t="s">
        <v>247</v>
      </c>
      <c r="G921" t="s">
        <v>439</v>
      </c>
      <c r="H921" t="s">
        <v>25</v>
      </c>
      <c r="I921" t="s">
        <v>25</v>
      </c>
      <c r="J921" t="s">
        <v>26</v>
      </c>
      <c r="K921"/>
      <c r="L921"/>
      <c r="M921" s="12">
        <v>3900</v>
      </c>
      <c r="N921" s="12">
        <v>3900</v>
      </c>
      <c r="O921" s="12">
        <v>3900</v>
      </c>
      <c r="P921" s="12">
        <v>3900</v>
      </c>
      <c r="Q921" s="12">
        <v>3900</v>
      </c>
      <c r="R921" s="12">
        <v>13700</v>
      </c>
      <c r="S921" s="12">
        <v>5500</v>
      </c>
      <c r="T921" s="12">
        <v>5500</v>
      </c>
      <c r="U921" s="12">
        <v>5500</v>
      </c>
      <c r="V921" s="12">
        <v>5500</v>
      </c>
      <c r="W921" s="12">
        <v>5500</v>
      </c>
      <c r="X921" s="12">
        <v>5500</v>
      </c>
      <c r="Y921" s="12">
        <f t="shared" si="17"/>
        <v>66200</v>
      </c>
    </row>
    <row r="922" spans="1:25" ht="15">
      <c r="A922">
        <v>2013</v>
      </c>
      <c r="B922" t="s">
        <v>573</v>
      </c>
      <c r="C922" t="s">
        <v>7</v>
      </c>
      <c r="D922" t="s">
        <v>7</v>
      </c>
      <c r="E922" t="s">
        <v>148</v>
      </c>
      <c r="F922" t="s">
        <v>78</v>
      </c>
      <c r="G922" t="s">
        <v>439</v>
      </c>
      <c r="H922" t="s">
        <v>148</v>
      </c>
      <c r="I922" t="s">
        <v>148</v>
      </c>
      <c r="J922" t="s">
        <v>148</v>
      </c>
      <c r="K922"/>
      <c r="L922"/>
      <c r="M922" s="12">
        <v>10200</v>
      </c>
      <c r="N922" s="12">
        <v>10710</v>
      </c>
      <c r="O922" s="12">
        <v>10506</v>
      </c>
      <c r="P922" s="12">
        <v>10506</v>
      </c>
      <c r="Q922" s="12">
        <v>10506</v>
      </c>
      <c r="R922" s="12">
        <v>8847.16</v>
      </c>
      <c r="S922" s="12">
        <v>8222</v>
      </c>
      <c r="T922" s="12">
        <v>14449</v>
      </c>
      <c r="U922" s="12">
        <v>10506</v>
      </c>
      <c r="V922" s="12">
        <v>10506</v>
      </c>
      <c r="W922" s="12">
        <v>10506</v>
      </c>
      <c r="X922" s="12">
        <v>10506</v>
      </c>
      <c r="Y922" s="12">
        <f t="shared" si="17"/>
        <v>125970.16</v>
      </c>
    </row>
    <row r="923" spans="1:25" ht="15">
      <c r="A923">
        <v>2013</v>
      </c>
      <c r="B923" t="s">
        <v>573</v>
      </c>
      <c r="C923" t="s">
        <v>7</v>
      </c>
      <c r="D923" t="s">
        <v>7</v>
      </c>
      <c r="E923" t="s">
        <v>148</v>
      </c>
      <c r="F923" t="s">
        <v>85</v>
      </c>
      <c r="G923" t="s">
        <v>439</v>
      </c>
      <c r="H923" t="s">
        <v>148</v>
      </c>
      <c r="I923" t="s">
        <v>148</v>
      </c>
      <c r="J923" t="s">
        <v>148</v>
      </c>
      <c r="K923"/>
      <c r="L923"/>
      <c r="M923" s="12">
        <v>22550.7</v>
      </c>
      <c r="N923" s="12">
        <v>13840</v>
      </c>
      <c r="O923" s="12">
        <v>14354</v>
      </c>
      <c r="P923" s="12">
        <v>14354</v>
      </c>
      <c r="Q923" s="12">
        <v>6078.84</v>
      </c>
      <c r="R923" s="12">
        <v>18099.580000000002</v>
      </c>
      <c r="S923" s="12">
        <v>20560.61</v>
      </c>
      <c r="T923" s="12">
        <v>22366.81</v>
      </c>
      <c r="U923" s="12">
        <v>10506</v>
      </c>
      <c r="V923" s="12">
        <v>10506</v>
      </c>
      <c r="W923" s="12">
        <v>10506</v>
      </c>
      <c r="X923" s="12">
        <v>10506</v>
      </c>
      <c r="Y923" s="12">
        <f t="shared" si="17"/>
        <v>174228.54</v>
      </c>
    </row>
    <row r="924" spans="1:25" ht="15">
      <c r="A924">
        <v>2013</v>
      </c>
      <c r="B924" t="s">
        <v>573</v>
      </c>
      <c r="C924" t="s">
        <v>7</v>
      </c>
      <c r="D924" t="s">
        <v>7</v>
      </c>
      <c r="E924" t="s">
        <v>148</v>
      </c>
      <c r="F924" t="s">
        <v>236</v>
      </c>
      <c r="G924" t="s">
        <v>439</v>
      </c>
      <c r="H924" t="s">
        <v>148</v>
      </c>
      <c r="I924" t="s">
        <v>148</v>
      </c>
      <c r="J924" t="s">
        <v>148</v>
      </c>
      <c r="K924"/>
      <c r="L924"/>
      <c r="M924" s="12">
        <v>101865</v>
      </c>
      <c r="N924" s="12">
        <v>99278</v>
      </c>
      <c r="O924" s="12">
        <v>107291</v>
      </c>
      <c r="P924" s="12">
        <v>108572.37</v>
      </c>
      <c r="Q924" s="12">
        <v>106758.74</v>
      </c>
      <c r="R924" s="12">
        <v>104817.05</v>
      </c>
      <c r="S924" s="12">
        <v>105617.83</v>
      </c>
      <c r="T924" s="12">
        <v>101578</v>
      </c>
      <c r="U924" s="12">
        <v>96831.2</v>
      </c>
      <c r="V924" s="12">
        <v>101651.57</v>
      </c>
      <c r="W924" s="12">
        <v>105982</v>
      </c>
      <c r="X924" s="12">
        <v>105982</v>
      </c>
      <c r="Y924" s="12">
        <f t="shared" si="17"/>
        <v>1246224.76</v>
      </c>
    </row>
    <row r="925" spans="1:25" ht="15">
      <c r="A925">
        <v>2013</v>
      </c>
      <c r="B925" t="s">
        <v>573</v>
      </c>
      <c r="C925" t="s">
        <v>7</v>
      </c>
      <c r="D925" t="s">
        <v>7</v>
      </c>
      <c r="E925" t="s">
        <v>148</v>
      </c>
      <c r="F925" t="s">
        <v>220</v>
      </c>
      <c r="G925" t="s">
        <v>439</v>
      </c>
      <c r="H925" t="s">
        <v>148</v>
      </c>
      <c r="I925" t="s">
        <v>148</v>
      </c>
      <c r="J925" t="s">
        <v>148</v>
      </c>
      <c r="K925"/>
      <c r="L925"/>
      <c r="M925" s="12">
        <v>57618</v>
      </c>
      <c r="N925" s="12">
        <v>57618</v>
      </c>
      <c r="O925" s="12">
        <v>14498</v>
      </c>
      <c r="P925" s="12">
        <v>14498</v>
      </c>
      <c r="Q925" s="12">
        <v>14498</v>
      </c>
      <c r="R925" s="12">
        <v>14498</v>
      </c>
      <c r="S925" s="12">
        <v>14498</v>
      </c>
      <c r="T925" s="12">
        <v>17211.900000000001</v>
      </c>
      <c r="U925" s="12">
        <v>15103</v>
      </c>
      <c r="V925" s="12">
        <v>15103</v>
      </c>
      <c r="W925" s="12">
        <v>15103</v>
      </c>
      <c r="X925" s="12">
        <v>15103</v>
      </c>
      <c r="Y925" s="12">
        <f t="shared" si="17"/>
        <v>265349.90000000002</v>
      </c>
    </row>
    <row r="926" spans="1:25" ht="15">
      <c r="A926">
        <v>2013</v>
      </c>
      <c r="B926" t="s">
        <v>573</v>
      </c>
      <c r="C926" t="s">
        <v>7</v>
      </c>
      <c r="D926" t="s">
        <v>7</v>
      </c>
      <c r="E926" t="s">
        <v>148</v>
      </c>
      <c r="F926" t="s">
        <v>234</v>
      </c>
      <c r="G926" t="s">
        <v>439</v>
      </c>
      <c r="H926" t="s">
        <v>148</v>
      </c>
      <c r="I926" t="s">
        <v>148</v>
      </c>
      <c r="J926" t="s">
        <v>148</v>
      </c>
      <c r="K926"/>
      <c r="L926"/>
      <c r="M926" s="12">
        <v>40783.78</v>
      </c>
      <c r="N926" s="12">
        <v>36713.589999999997</v>
      </c>
      <c r="O926" s="12">
        <v>61595.89</v>
      </c>
      <c r="P926" s="12">
        <v>60291.839999999997</v>
      </c>
      <c r="Q926" s="12">
        <v>60403.94</v>
      </c>
      <c r="R926" s="12">
        <v>61721.279999999999</v>
      </c>
      <c r="S926" s="12">
        <v>60053.65</v>
      </c>
      <c r="T926" s="12">
        <v>62276.94</v>
      </c>
      <c r="U926" s="12">
        <v>64712.65</v>
      </c>
      <c r="V926" s="12">
        <v>58253.84</v>
      </c>
      <c r="W926" s="12">
        <v>58254</v>
      </c>
      <c r="X926" s="12">
        <v>1013970</v>
      </c>
      <c r="Y926" s="12">
        <f t="shared" si="17"/>
        <v>1639031.4</v>
      </c>
    </row>
    <row r="927" spans="1:25" ht="15">
      <c r="A927">
        <v>2013</v>
      </c>
      <c r="B927" t="s">
        <v>573</v>
      </c>
      <c r="C927" t="s">
        <v>7</v>
      </c>
      <c r="D927" t="s">
        <v>7</v>
      </c>
      <c r="E927" t="s">
        <v>148</v>
      </c>
      <c r="F927" t="s">
        <v>81</v>
      </c>
      <c r="G927" t="s">
        <v>439</v>
      </c>
      <c r="H927" t="s">
        <v>148</v>
      </c>
      <c r="I927" t="s">
        <v>148</v>
      </c>
      <c r="J927" t="s">
        <v>148</v>
      </c>
      <c r="K927"/>
      <c r="L927"/>
      <c r="M927" s="12">
        <v>19840</v>
      </c>
      <c r="N927" s="12">
        <v>21182</v>
      </c>
      <c r="O927" s="12">
        <v>26964</v>
      </c>
      <c r="P927" s="12">
        <v>27871.45</v>
      </c>
      <c r="Q927" s="12">
        <v>50581</v>
      </c>
      <c r="R927" s="12">
        <v>31022</v>
      </c>
      <c r="S927" s="12">
        <v>29986.7</v>
      </c>
      <c r="T927" s="12">
        <v>40104.67</v>
      </c>
      <c r="U927" s="12">
        <v>45250.67</v>
      </c>
      <c r="V927" s="12">
        <v>45594</v>
      </c>
      <c r="W927" s="12">
        <v>45594</v>
      </c>
      <c r="X927" s="12">
        <v>45594</v>
      </c>
      <c r="Y927" s="12">
        <f t="shared" si="17"/>
        <v>429584.49</v>
      </c>
    </row>
    <row r="928" spans="1:25" ht="15">
      <c r="A928">
        <v>2013</v>
      </c>
      <c r="B928" t="s">
        <v>573</v>
      </c>
      <c r="C928" t="s">
        <v>7</v>
      </c>
      <c r="D928" t="s">
        <v>7</v>
      </c>
      <c r="E928" t="s">
        <v>148</v>
      </c>
      <c r="F928" t="s">
        <v>237</v>
      </c>
      <c r="G928" t="s">
        <v>439</v>
      </c>
      <c r="H928" t="s">
        <v>148</v>
      </c>
      <c r="I928" t="s">
        <v>148</v>
      </c>
      <c r="J928" t="s">
        <v>148</v>
      </c>
      <c r="K928"/>
      <c r="L928"/>
      <c r="M928" s="12">
        <v>41370</v>
      </c>
      <c r="N928" s="12">
        <v>41520</v>
      </c>
      <c r="O928" s="12">
        <v>42470</v>
      </c>
      <c r="P928" s="12">
        <v>46060</v>
      </c>
      <c r="Q928" s="12">
        <v>42925.45</v>
      </c>
      <c r="R928" s="12">
        <v>45544.55</v>
      </c>
      <c r="S928" s="12">
        <v>42860</v>
      </c>
      <c r="T928" s="12">
        <v>43010</v>
      </c>
      <c r="U928" s="12">
        <v>43010</v>
      </c>
      <c r="V928" s="12">
        <v>46910</v>
      </c>
      <c r="W928" s="12">
        <v>43010</v>
      </c>
      <c r="X928" s="12">
        <v>43010</v>
      </c>
      <c r="Y928" s="12">
        <f t="shared" si="17"/>
        <v>521700</v>
      </c>
    </row>
    <row r="929" spans="1:25" ht="15">
      <c r="A929">
        <v>2013</v>
      </c>
      <c r="B929" t="s">
        <v>573</v>
      </c>
      <c r="C929" t="s">
        <v>7</v>
      </c>
      <c r="D929" t="s">
        <v>7</v>
      </c>
      <c r="E929" t="s">
        <v>148</v>
      </c>
      <c r="F929" t="s">
        <v>213</v>
      </c>
      <c r="G929" t="s">
        <v>439</v>
      </c>
      <c r="H929" t="s">
        <v>148</v>
      </c>
      <c r="I929" t="s">
        <v>148</v>
      </c>
      <c r="J929" t="s">
        <v>148</v>
      </c>
      <c r="K929"/>
      <c r="L929"/>
      <c r="M929" s="12">
        <v>29400</v>
      </c>
      <c r="N929" s="12">
        <v>29400</v>
      </c>
      <c r="O929" s="12">
        <v>30738</v>
      </c>
      <c r="P929" s="12">
        <v>30738</v>
      </c>
      <c r="Q929" s="12">
        <v>30738</v>
      </c>
      <c r="R929" s="12">
        <v>30538</v>
      </c>
      <c r="S929" s="12">
        <v>30738</v>
      </c>
      <c r="T929" s="12">
        <v>30738</v>
      </c>
      <c r="U929" s="12">
        <v>30738</v>
      </c>
      <c r="V929" s="12">
        <v>34738</v>
      </c>
      <c r="W929" s="12">
        <v>30738</v>
      </c>
      <c r="X929" s="12">
        <v>30738</v>
      </c>
      <c r="Y929" s="12">
        <f t="shared" si="17"/>
        <v>369980</v>
      </c>
    </row>
    <row r="930" spans="1:25" ht="15">
      <c r="A930">
        <v>2013</v>
      </c>
      <c r="B930" t="s">
        <v>573</v>
      </c>
      <c r="C930" t="s">
        <v>7</v>
      </c>
      <c r="D930" t="s">
        <v>7</v>
      </c>
      <c r="E930" t="s">
        <v>148</v>
      </c>
      <c r="F930" t="s">
        <v>239</v>
      </c>
      <c r="G930" t="s">
        <v>439</v>
      </c>
      <c r="H930" t="s">
        <v>148</v>
      </c>
      <c r="I930" t="s">
        <v>148</v>
      </c>
      <c r="J930" t="s">
        <v>148</v>
      </c>
      <c r="K930"/>
      <c r="L930"/>
      <c r="M930" s="12">
        <v>22511.43</v>
      </c>
      <c r="N930" s="12">
        <v>23440</v>
      </c>
      <c r="O930" s="12">
        <v>24343.200000000001</v>
      </c>
      <c r="P930" s="12">
        <v>23264.39</v>
      </c>
      <c r="Q930" s="12">
        <v>25292.799999999999</v>
      </c>
      <c r="R930" s="12">
        <v>24950</v>
      </c>
      <c r="S930" s="12">
        <v>24950</v>
      </c>
      <c r="T930" s="12">
        <v>24950</v>
      </c>
      <c r="U930" s="12">
        <v>24950</v>
      </c>
      <c r="V930" s="12">
        <v>24768.91</v>
      </c>
      <c r="W930" s="12">
        <v>24950</v>
      </c>
      <c r="X930" s="12">
        <v>24950</v>
      </c>
      <c r="Y930" s="12">
        <f t="shared" si="17"/>
        <v>293320.73</v>
      </c>
    </row>
    <row r="931" spans="1:25" ht="15">
      <c r="A931">
        <v>2013</v>
      </c>
      <c r="B931" t="s">
        <v>573</v>
      </c>
      <c r="C931" t="s">
        <v>7</v>
      </c>
      <c r="D931" t="s">
        <v>7</v>
      </c>
      <c r="E931" t="s">
        <v>148</v>
      </c>
      <c r="F931" t="s">
        <v>258</v>
      </c>
      <c r="G931" t="s">
        <v>439</v>
      </c>
      <c r="H931" t="s">
        <v>148</v>
      </c>
      <c r="I931" t="s">
        <v>148</v>
      </c>
      <c r="J931" t="s">
        <v>148</v>
      </c>
      <c r="K931"/>
      <c r="L931"/>
      <c r="M931" s="12">
        <v>24031.27</v>
      </c>
      <c r="N931" s="12">
        <v>24300.66</v>
      </c>
      <c r="O931" s="12">
        <v>26560</v>
      </c>
      <c r="P931" s="12">
        <v>26560</v>
      </c>
      <c r="Q931" s="12">
        <v>26560</v>
      </c>
      <c r="R931" s="12">
        <v>26560</v>
      </c>
      <c r="S931" s="12">
        <v>26560</v>
      </c>
      <c r="T931" s="12">
        <v>26560</v>
      </c>
      <c r="U931" s="12">
        <v>29280</v>
      </c>
      <c r="V931" s="12">
        <v>26560</v>
      </c>
      <c r="W931" s="12">
        <v>26560</v>
      </c>
      <c r="X931" s="12">
        <v>26560</v>
      </c>
      <c r="Y931" s="12">
        <f t="shared" si="17"/>
        <v>316651.93</v>
      </c>
    </row>
    <row r="932" spans="1:25" ht="15">
      <c r="A932">
        <v>2013</v>
      </c>
      <c r="B932" t="s">
        <v>573</v>
      </c>
      <c r="C932" t="s">
        <v>7</v>
      </c>
      <c r="D932" t="s">
        <v>7</v>
      </c>
      <c r="E932" t="s">
        <v>148</v>
      </c>
      <c r="F932" t="s">
        <v>94</v>
      </c>
      <c r="G932" t="s">
        <v>439</v>
      </c>
      <c r="H932" t="s">
        <v>148</v>
      </c>
      <c r="I932" t="s">
        <v>148</v>
      </c>
      <c r="J932" t="s">
        <v>148</v>
      </c>
      <c r="K932"/>
      <c r="L932"/>
      <c r="M932" s="12">
        <v>7120</v>
      </c>
      <c r="N932" s="12">
        <v>7120</v>
      </c>
      <c r="O932" s="12">
        <v>7611</v>
      </c>
      <c r="P932" s="12">
        <v>7611</v>
      </c>
      <c r="Q932" s="12">
        <v>7611</v>
      </c>
      <c r="R932" s="12">
        <v>7611</v>
      </c>
      <c r="S932" s="12">
        <v>7611</v>
      </c>
      <c r="T932" s="12">
        <v>7611</v>
      </c>
      <c r="U932" s="12">
        <v>7611</v>
      </c>
      <c r="V932" s="12">
        <v>7611</v>
      </c>
      <c r="W932" s="12">
        <v>11533</v>
      </c>
      <c r="X932" s="12">
        <v>11533</v>
      </c>
      <c r="Y932" s="12">
        <f t="shared" si="17"/>
        <v>98194</v>
      </c>
    </row>
    <row r="933" spans="1:25" ht="15">
      <c r="A933">
        <v>2013</v>
      </c>
      <c r="B933" t="s">
        <v>573</v>
      </c>
      <c r="C933" t="s">
        <v>7</v>
      </c>
      <c r="D933" t="s">
        <v>7</v>
      </c>
      <c r="E933" t="s">
        <v>148</v>
      </c>
      <c r="F933" t="s">
        <v>260</v>
      </c>
      <c r="G933" t="s">
        <v>439</v>
      </c>
      <c r="H933" t="s">
        <v>148</v>
      </c>
      <c r="I933" t="s">
        <v>148</v>
      </c>
      <c r="J933" t="s">
        <v>148</v>
      </c>
      <c r="K933"/>
      <c r="L933"/>
      <c r="M933" s="12">
        <v>39900</v>
      </c>
      <c r="N933" s="12">
        <v>39900</v>
      </c>
      <c r="O933" s="12">
        <v>39900</v>
      </c>
      <c r="P933" s="12">
        <v>39900</v>
      </c>
      <c r="Q933" s="12">
        <v>41174</v>
      </c>
      <c r="R933" s="12">
        <v>41174</v>
      </c>
      <c r="S933" s="12">
        <v>34221.050000000003</v>
      </c>
      <c r="T933" s="12">
        <v>39917.33</v>
      </c>
      <c r="U933" s="12">
        <v>42510.239999999998</v>
      </c>
      <c r="V933" s="12">
        <v>41988</v>
      </c>
      <c r="W933" s="12">
        <v>41988</v>
      </c>
      <c r="X933" s="12">
        <v>41988</v>
      </c>
      <c r="Y933" s="12">
        <f t="shared" si="17"/>
        <v>484560.62</v>
      </c>
    </row>
    <row r="934" spans="1:25" ht="15">
      <c r="A934">
        <v>2013</v>
      </c>
      <c r="B934" t="s">
        <v>573</v>
      </c>
      <c r="C934" t="s">
        <v>7</v>
      </c>
      <c r="D934" t="s">
        <v>7</v>
      </c>
      <c r="E934" t="s">
        <v>148</v>
      </c>
      <c r="F934" t="s">
        <v>8</v>
      </c>
      <c r="G934" t="s">
        <v>439</v>
      </c>
      <c r="H934" t="s">
        <v>148</v>
      </c>
      <c r="I934" t="s">
        <v>148</v>
      </c>
      <c r="J934" t="s">
        <v>148</v>
      </c>
      <c r="K934"/>
      <c r="L934"/>
      <c r="M934" s="12"/>
      <c r="N934" s="12">
        <v>7350</v>
      </c>
      <c r="O934" s="12">
        <v>7210</v>
      </c>
      <c r="P934" s="12">
        <v>7210</v>
      </c>
      <c r="Q934" s="12">
        <v>7210</v>
      </c>
      <c r="R934" s="12">
        <v>7210</v>
      </c>
      <c r="S934" s="12">
        <v>7210</v>
      </c>
      <c r="T934" s="12">
        <v>7210</v>
      </c>
      <c r="U934" s="12">
        <v>7210</v>
      </c>
      <c r="V934" s="12">
        <v>7210</v>
      </c>
      <c r="W934" s="12">
        <v>7210</v>
      </c>
      <c r="X934" s="12">
        <v>7210</v>
      </c>
      <c r="Y934" s="12">
        <f t="shared" si="17"/>
        <v>79450</v>
      </c>
    </row>
    <row r="935" spans="1:25" ht="15">
      <c r="A935">
        <v>2013</v>
      </c>
      <c r="B935" t="s">
        <v>573</v>
      </c>
      <c r="C935" t="s">
        <v>7</v>
      </c>
      <c r="D935" t="s">
        <v>7</v>
      </c>
      <c r="E935" t="s">
        <v>148</v>
      </c>
      <c r="F935" t="s">
        <v>166</v>
      </c>
      <c r="G935" t="s">
        <v>439</v>
      </c>
      <c r="H935" t="s">
        <v>148</v>
      </c>
      <c r="I935" t="s">
        <v>148</v>
      </c>
      <c r="J935" t="s">
        <v>148</v>
      </c>
      <c r="K935"/>
      <c r="L935"/>
      <c r="M935" s="12">
        <v>41490</v>
      </c>
      <c r="N935" s="12">
        <v>41490</v>
      </c>
      <c r="O935" s="12">
        <v>44910</v>
      </c>
      <c r="P935" s="12">
        <v>44910</v>
      </c>
      <c r="Q935" s="12">
        <v>44810</v>
      </c>
      <c r="R935" s="12">
        <v>44910</v>
      </c>
      <c r="S935" s="12">
        <v>43910</v>
      </c>
      <c r="T935" s="12">
        <v>44910</v>
      </c>
      <c r="U935" s="12">
        <v>44910</v>
      </c>
      <c r="V935" s="12">
        <v>44810</v>
      </c>
      <c r="W935" s="12">
        <v>44910</v>
      </c>
      <c r="X935" s="12">
        <v>44910</v>
      </c>
      <c r="Y935" s="12">
        <f t="shared" si="17"/>
        <v>530880</v>
      </c>
    </row>
    <row r="936" spans="1:25" ht="15">
      <c r="A936">
        <v>2013</v>
      </c>
      <c r="B936" t="s">
        <v>573</v>
      </c>
      <c r="C936" t="s">
        <v>7</v>
      </c>
      <c r="D936" t="s">
        <v>7</v>
      </c>
      <c r="E936" t="s">
        <v>148</v>
      </c>
      <c r="F936" t="s">
        <v>208</v>
      </c>
      <c r="G936" t="s">
        <v>245</v>
      </c>
      <c r="H936" t="s">
        <v>148</v>
      </c>
      <c r="I936" t="s">
        <v>148</v>
      </c>
      <c r="J936" t="s">
        <v>148</v>
      </c>
      <c r="K936"/>
      <c r="L936"/>
      <c r="M936" s="12"/>
      <c r="N936" s="12"/>
      <c r="O936" s="12"/>
      <c r="P936" s="12"/>
      <c r="Q936" s="12"/>
      <c r="R936" s="12">
        <v>26638</v>
      </c>
      <c r="S936" s="12">
        <v>9916</v>
      </c>
      <c r="T936" s="12"/>
      <c r="U936" s="12"/>
      <c r="V936" s="12"/>
      <c r="W936" s="12"/>
      <c r="X936" s="12"/>
      <c r="Y936" s="12">
        <f t="shared" si="17"/>
        <v>36554</v>
      </c>
    </row>
    <row r="937" spans="1:25" ht="15">
      <c r="A937">
        <v>2013</v>
      </c>
      <c r="B937" t="s">
        <v>573</v>
      </c>
      <c r="C937" t="s">
        <v>7</v>
      </c>
      <c r="D937" t="s">
        <v>7</v>
      </c>
      <c r="E937" t="s">
        <v>148</v>
      </c>
      <c r="F937" t="s">
        <v>208</v>
      </c>
      <c r="G937" t="s">
        <v>439</v>
      </c>
      <c r="H937" t="s">
        <v>148</v>
      </c>
      <c r="I937" t="s">
        <v>148</v>
      </c>
      <c r="J937" t="s">
        <v>148</v>
      </c>
      <c r="K937"/>
      <c r="L937"/>
      <c r="M937" s="12">
        <v>14378.9</v>
      </c>
      <c r="N937" s="12">
        <v>20193.599999999999</v>
      </c>
      <c r="O937" s="12">
        <v>28665.25</v>
      </c>
      <c r="P937" s="12">
        <v>31160</v>
      </c>
      <c r="Q937" s="12"/>
      <c r="R937" s="12"/>
      <c r="S937" s="12"/>
      <c r="T937" s="12"/>
      <c r="U937" s="12"/>
      <c r="V937" s="12"/>
      <c r="W937" s="12"/>
      <c r="X937" s="12"/>
      <c r="Y937" s="12">
        <f t="shared" si="17"/>
        <v>94397.75</v>
      </c>
    </row>
    <row r="938" spans="1:25" ht="15">
      <c r="A938">
        <v>2013</v>
      </c>
      <c r="B938" t="s">
        <v>573</v>
      </c>
      <c r="C938" t="s">
        <v>7</v>
      </c>
      <c r="D938" t="s">
        <v>7</v>
      </c>
      <c r="E938" t="s">
        <v>148</v>
      </c>
      <c r="F938" t="s">
        <v>247</v>
      </c>
      <c r="G938" t="s">
        <v>439</v>
      </c>
      <c r="H938" t="s">
        <v>148</v>
      </c>
      <c r="I938" t="s">
        <v>148</v>
      </c>
      <c r="J938" t="s">
        <v>148</v>
      </c>
      <c r="K938"/>
      <c r="L938"/>
      <c r="M938" s="12">
        <v>15900</v>
      </c>
      <c r="N938" s="12">
        <v>15900</v>
      </c>
      <c r="O938" s="12">
        <v>18016</v>
      </c>
      <c r="P938" s="12">
        <v>18016</v>
      </c>
      <c r="Q938" s="12">
        <v>18016</v>
      </c>
      <c r="R938" s="12">
        <v>18016</v>
      </c>
      <c r="S938" s="12">
        <v>18016</v>
      </c>
      <c r="T938" s="12">
        <v>18016</v>
      </c>
      <c r="U938" s="12">
        <v>18016</v>
      </c>
      <c r="V938" s="12">
        <v>18016</v>
      </c>
      <c r="W938" s="12">
        <v>18016</v>
      </c>
      <c r="X938" s="12">
        <v>18016</v>
      </c>
      <c r="Y938" s="12">
        <f t="shared" si="17"/>
        <v>211960</v>
      </c>
    </row>
    <row r="939" spans="1:25" ht="15">
      <c r="A939">
        <v>2013</v>
      </c>
      <c r="B939" t="s">
        <v>573</v>
      </c>
      <c r="C939" t="s">
        <v>7</v>
      </c>
      <c r="D939" t="s">
        <v>7</v>
      </c>
      <c r="E939" t="s">
        <v>37</v>
      </c>
      <c r="F939" t="s">
        <v>78</v>
      </c>
      <c r="G939" t="s">
        <v>439</v>
      </c>
      <c r="H939" t="s">
        <v>37</v>
      </c>
      <c r="I939" t="s">
        <v>37</v>
      </c>
      <c r="J939" t="s">
        <v>37</v>
      </c>
      <c r="K939"/>
      <c r="L939"/>
      <c r="M939" s="12"/>
      <c r="N939" s="12">
        <v>455.15</v>
      </c>
      <c r="O939" s="12"/>
      <c r="P939" s="12"/>
      <c r="Q939" s="12"/>
      <c r="R939" s="12"/>
      <c r="S939" s="12"/>
      <c r="T939" s="12"/>
      <c r="U939" s="12"/>
      <c r="V939" s="12"/>
      <c r="W939" s="12">
        <v>1000</v>
      </c>
      <c r="X939" s="12">
        <v>1000</v>
      </c>
      <c r="Y939" s="12">
        <f t="shared" si="17"/>
        <v>2455.15</v>
      </c>
    </row>
    <row r="940" spans="1:25" ht="15">
      <c r="A940">
        <v>2013</v>
      </c>
      <c r="B940" t="s">
        <v>573</v>
      </c>
      <c r="C940" t="s">
        <v>7</v>
      </c>
      <c r="D940" t="s">
        <v>7</v>
      </c>
      <c r="E940" t="s">
        <v>37</v>
      </c>
      <c r="F940" t="s">
        <v>85</v>
      </c>
      <c r="G940" t="s">
        <v>439</v>
      </c>
      <c r="H940" t="s">
        <v>37</v>
      </c>
      <c r="I940" t="s">
        <v>37</v>
      </c>
      <c r="J940" t="s">
        <v>37</v>
      </c>
      <c r="K940"/>
      <c r="L940"/>
      <c r="M940" s="12"/>
      <c r="N940" s="12">
        <v>3154.55</v>
      </c>
      <c r="O940" s="12">
        <v>2188.5</v>
      </c>
      <c r="P940" s="12">
        <v>2255.0100000000002</v>
      </c>
      <c r="Q940" s="12">
        <v>914.82</v>
      </c>
      <c r="R940" s="12"/>
      <c r="S940" s="12"/>
      <c r="T940" s="12"/>
      <c r="U940" s="12"/>
      <c r="V940" s="12"/>
      <c r="W940" s="12">
        <v>1500</v>
      </c>
      <c r="X940" s="12">
        <v>1500</v>
      </c>
      <c r="Y940" s="12">
        <f t="shared" si="17"/>
        <v>11512.880000000001</v>
      </c>
    </row>
    <row r="941" spans="1:25" ht="15">
      <c r="A941">
        <v>2013</v>
      </c>
      <c r="B941" t="s">
        <v>573</v>
      </c>
      <c r="C941" t="s">
        <v>7</v>
      </c>
      <c r="D941" t="s">
        <v>7</v>
      </c>
      <c r="E941" t="s">
        <v>37</v>
      </c>
      <c r="F941" t="s">
        <v>220</v>
      </c>
      <c r="G941" t="s">
        <v>439</v>
      </c>
      <c r="H941" t="s">
        <v>37</v>
      </c>
      <c r="I941" t="s">
        <v>37</v>
      </c>
      <c r="J941" t="s">
        <v>37</v>
      </c>
      <c r="K941"/>
      <c r="L941"/>
      <c r="M941" s="12"/>
      <c r="N941" s="12"/>
      <c r="O941" s="12"/>
      <c r="P941" s="12"/>
      <c r="Q941" s="12"/>
      <c r="R941" s="12"/>
      <c r="S941" s="12"/>
      <c r="T941" s="12">
        <v>2597.91</v>
      </c>
      <c r="U941" s="12">
        <v>2654</v>
      </c>
      <c r="V941" s="12"/>
      <c r="W941" s="12">
        <v>2000</v>
      </c>
      <c r="X941" s="12">
        <v>2000</v>
      </c>
      <c r="Y941" s="12">
        <f t="shared" si="17"/>
        <v>9251.91</v>
      </c>
    </row>
    <row r="942" spans="1:25" ht="15">
      <c r="A942">
        <v>2013</v>
      </c>
      <c r="B942" t="s">
        <v>573</v>
      </c>
      <c r="C942" t="s">
        <v>7</v>
      </c>
      <c r="D942" t="s">
        <v>7</v>
      </c>
      <c r="E942" t="s">
        <v>37</v>
      </c>
      <c r="F942" t="s">
        <v>234</v>
      </c>
      <c r="G942" t="s">
        <v>439</v>
      </c>
      <c r="H942" t="s">
        <v>37</v>
      </c>
      <c r="I942" t="s">
        <v>37</v>
      </c>
      <c r="J942" t="s">
        <v>37</v>
      </c>
      <c r="K942"/>
      <c r="L942"/>
      <c r="M942" s="12">
        <v>642.58000000000004</v>
      </c>
      <c r="N942" s="12">
        <v>387.84</v>
      </c>
      <c r="O942" s="12">
        <v>1120</v>
      </c>
      <c r="P942" s="12"/>
      <c r="Q942" s="12"/>
      <c r="R942" s="12"/>
      <c r="S942" s="12"/>
      <c r="T942" s="12">
        <v>6049</v>
      </c>
      <c r="U942" s="12">
        <v>2654</v>
      </c>
      <c r="V942" s="12">
        <v>7179.86</v>
      </c>
      <c r="W942" s="12"/>
      <c r="X942" s="12"/>
      <c r="Y942" s="12">
        <f t="shared" si="17"/>
        <v>18033.28</v>
      </c>
    </row>
    <row r="943" spans="1:25" ht="15">
      <c r="A943">
        <v>2013</v>
      </c>
      <c r="B943" t="s">
        <v>573</v>
      </c>
      <c r="C943" t="s">
        <v>7</v>
      </c>
      <c r="D943" t="s">
        <v>7</v>
      </c>
      <c r="E943" t="s">
        <v>37</v>
      </c>
      <c r="F943" t="s">
        <v>81</v>
      </c>
      <c r="G943" t="s">
        <v>439</v>
      </c>
      <c r="H943" t="s">
        <v>37</v>
      </c>
      <c r="I943" t="s">
        <v>37</v>
      </c>
      <c r="J943" t="s">
        <v>37</v>
      </c>
      <c r="K943"/>
      <c r="L943"/>
      <c r="M943" s="12"/>
      <c r="N943" s="12">
        <v>8291.77</v>
      </c>
      <c r="O943" s="12">
        <v>1085.3499999999999</v>
      </c>
      <c r="P943" s="12">
        <v>707.09</v>
      </c>
      <c r="Q943" s="12">
        <v>135</v>
      </c>
      <c r="R943" s="12"/>
      <c r="S943" s="12"/>
      <c r="T943" s="12">
        <v>1434.95</v>
      </c>
      <c r="U943" s="12">
        <v>63</v>
      </c>
      <c r="V943" s="12"/>
      <c r="W943" s="12">
        <v>1500</v>
      </c>
      <c r="X943" s="12">
        <v>1500</v>
      </c>
      <c r="Y943" s="12">
        <f t="shared" si="17"/>
        <v>14717.160000000002</v>
      </c>
    </row>
    <row r="944" spans="1:25" ht="15">
      <c r="A944">
        <v>2013</v>
      </c>
      <c r="B944" t="s">
        <v>573</v>
      </c>
      <c r="C944" t="s">
        <v>7</v>
      </c>
      <c r="D944" t="s">
        <v>7</v>
      </c>
      <c r="E944" t="s">
        <v>37</v>
      </c>
      <c r="F944" t="s">
        <v>237</v>
      </c>
      <c r="G944" t="s">
        <v>439</v>
      </c>
      <c r="H944" t="s">
        <v>37</v>
      </c>
      <c r="I944" t="s">
        <v>37</v>
      </c>
      <c r="J944" t="s">
        <v>37</v>
      </c>
      <c r="K944"/>
      <c r="L944"/>
      <c r="M944" s="12"/>
      <c r="N944" s="12"/>
      <c r="O944" s="12">
        <v>248</v>
      </c>
      <c r="P944" s="12">
        <v>150</v>
      </c>
      <c r="Q944" s="12"/>
      <c r="R944" s="12"/>
      <c r="S944" s="12"/>
      <c r="T944" s="12"/>
      <c r="U944" s="12"/>
      <c r="V944" s="12"/>
      <c r="W944" s="12"/>
      <c r="X944" s="12"/>
      <c r="Y944" s="12">
        <f t="shared" si="17"/>
        <v>398</v>
      </c>
    </row>
    <row r="945" spans="1:25" ht="15">
      <c r="A945">
        <v>2013</v>
      </c>
      <c r="B945" t="s">
        <v>573</v>
      </c>
      <c r="C945" t="s">
        <v>7</v>
      </c>
      <c r="D945" t="s">
        <v>7</v>
      </c>
      <c r="E945" t="s">
        <v>37</v>
      </c>
      <c r="F945" t="s">
        <v>239</v>
      </c>
      <c r="G945" t="s">
        <v>439</v>
      </c>
      <c r="H945" t="s">
        <v>37</v>
      </c>
      <c r="I945" t="s">
        <v>37</v>
      </c>
      <c r="J945" t="s">
        <v>37</v>
      </c>
      <c r="K945"/>
      <c r="L945"/>
      <c r="M945" s="12"/>
      <c r="N945" s="12">
        <v>880</v>
      </c>
      <c r="O945" s="12">
        <v>740</v>
      </c>
      <c r="P945" s="12"/>
      <c r="Q945" s="12"/>
      <c r="R945" s="12">
        <v>143</v>
      </c>
      <c r="S945" s="12">
        <v>111.92</v>
      </c>
      <c r="T945" s="12"/>
      <c r="U945" s="12"/>
      <c r="V945" s="12">
        <v>237.45</v>
      </c>
      <c r="W945" s="12">
        <v>300</v>
      </c>
      <c r="X945" s="12">
        <v>300</v>
      </c>
      <c r="Y945" s="12">
        <f t="shared" si="17"/>
        <v>2712.37</v>
      </c>
    </row>
    <row r="946" spans="1:25" ht="15">
      <c r="A946">
        <v>2013</v>
      </c>
      <c r="B946" t="s">
        <v>573</v>
      </c>
      <c r="C946" t="s">
        <v>7</v>
      </c>
      <c r="D946" t="s">
        <v>7</v>
      </c>
      <c r="E946" t="s">
        <v>37</v>
      </c>
      <c r="F946" t="s">
        <v>94</v>
      </c>
      <c r="G946" t="s">
        <v>439</v>
      </c>
      <c r="H946" t="s">
        <v>37</v>
      </c>
      <c r="I946" t="s">
        <v>37</v>
      </c>
      <c r="J946" t="s">
        <v>37</v>
      </c>
      <c r="K946"/>
      <c r="L946"/>
      <c r="M946" s="12"/>
      <c r="N946" s="12"/>
      <c r="O946" s="12">
        <v>140</v>
      </c>
      <c r="P946" s="12"/>
      <c r="Q946" s="12"/>
      <c r="R946" s="12"/>
      <c r="S946" s="12"/>
      <c r="T946" s="12"/>
      <c r="U946" s="12"/>
      <c r="V946" s="12"/>
      <c r="W946" s="12"/>
      <c r="X946" s="12"/>
      <c r="Y946" s="12">
        <f t="shared" si="17"/>
        <v>140</v>
      </c>
    </row>
    <row r="947" spans="1:25" ht="15">
      <c r="A947">
        <v>2013</v>
      </c>
      <c r="B947" t="s">
        <v>573</v>
      </c>
      <c r="C947" t="s">
        <v>7</v>
      </c>
      <c r="D947" t="s">
        <v>7</v>
      </c>
      <c r="E947" t="s">
        <v>37</v>
      </c>
      <c r="F947" t="s">
        <v>260</v>
      </c>
      <c r="G947" t="s">
        <v>439</v>
      </c>
      <c r="H947" t="s">
        <v>37</v>
      </c>
      <c r="I947" t="s">
        <v>37</v>
      </c>
      <c r="J947" t="s">
        <v>37</v>
      </c>
      <c r="K947"/>
      <c r="L947"/>
      <c r="M947" s="12">
        <v>4119.58</v>
      </c>
      <c r="N947" s="12">
        <v>2903</v>
      </c>
      <c r="O947" s="12">
        <v>3079</v>
      </c>
      <c r="P947" s="12">
        <v>6508</v>
      </c>
      <c r="Q947" s="12">
        <v>12474</v>
      </c>
      <c r="R947" s="12">
        <v>12320.5</v>
      </c>
      <c r="S947" s="12">
        <v>24251</v>
      </c>
      <c r="T947" s="12">
        <v>18997</v>
      </c>
      <c r="U947" s="12">
        <v>10097.780000000001</v>
      </c>
      <c r="V947" s="12">
        <v>4803.72</v>
      </c>
      <c r="W947" s="12">
        <v>5000</v>
      </c>
      <c r="X947" s="12">
        <v>5000</v>
      </c>
      <c r="Y947" s="12">
        <f t="shared" si="17"/>
        <v>109553.58</v>
      </c>
    </row>
    <row r="948" spans="1:25" ht="15">
      <c r="A948">
        <v>2013</v>
      </c>
      <c r="B948" t="s">
        <v>573</v>
      </c>
      <c r="C948" t="s">
        <v>7</v>
      </c>
      <c r="D948" t="s">
        <v>7</v>
      </c>
      <c r="E948" t="s">
        <v>37</v>
      </c>
      <c r="F948" t="s">
        <v>166</v>
      </c>
      <c r="G948" t="s">
        <v>439</v>
      </c>
      <c r="H948" t="s">
        <v>37</v>
      </c>
      <c r="I948" t="s">
        <v>37</v>
      </c>
      <c r="J948" t="s">
        <v>37</v>
      </c>
      <c r="K948"/>
      <c r="L948"/>
      <c r="M948" s="12"/>
      <c r="N948" s="12"/>
      <c r="O948" s="12"/>
      <c r="P948" s="12"/>
      <c r="Q948" s="12"/>
      <c r="R948" s="12"/>
      <c r="S948" s="12">
        <v>458.34</v>
      </c>
      <c r="T948" s="12"/>
      <c r="U948" s="12">
        <v>350</v>
      </c>
      <c r="V948" s="12"/>
      <c r="W948" s="12"/>
      <c r="X948" s="12"/>
      <c r="Y948" s="12">
        <f t="shared" si="17"/>
        <v>808.33999999999992</v>
      </c>
    </row>
    <row r="949" spans="1:25" ht="15">
      <c r="A949">
        <v>2013</v>
      </c>
      <c r="B949" t="s">
        <v>573</v>
      </c>
      <c r="C949" t="s">
        <v>7</v>
      </c>
      <c r="D949" t="s">
        <v>7</v>
      </c>
      <c r="E949" t="s">
        <v>37</v>
      </c>
      <c r="F949" t="s">
        <v>208</v>
      </c>
      <c r="G949" t="s">
        <v>245</v>
      </c>
      <c r="H949" t="s">
        <v>37</v>
      </c>
      <c r="I949" t="s">
        <v>37</v>
      </c>
      <c r="J949" t="s">
        <v>37</v>
      </c>
      <c r="K949"/>
      <c r="L949"/>
      <c r="M949" s="12"/>
      <c r="N949" s="12"/>
      <c r="O949" s="12"/>
      <c r="P949" s="12"/>
      <c r="Q949" s="12"/>
      <c r="R949" s="12"/>
      <c r="S949" s="12">
        <v>1163.29</v>
      </c>
      <c r="T949" s="12"/>
      <c r="U949" s="12"/>
      <c r="V949" s="12"/>
      <c r="W949" s="12"/>
      <c r="X949" s="12"/>
      <c r="Y949" s="12">
        <f t="shared" si="17"/>
        <v>1163.29</v>
      </c>
    </row>
    <row r="950" spans="1:25" ht="15">
      <c r="A950">
        <v>2013</v>
      </c>
      <c r="B950" t="s">
        <v>573</v>
      </c>
      <c r="C950" t="s">
        <v>7</v>
      </c>
      <c r="D950" t="s">
        <v>7</v>
      </c>
      <c r="E950" t="s">
        <v>37</v>
      </c>
      <c r="F950" t="s">
        <v>208</v>
      </c>
      <c r="G950" t="s">
        <v>439</v>
      </c>
      <c r="H950" t="s">
        <v>37</v>
      </c>
      <c r="I950" t="s">
        <v>37</v>
      </c>
      <c r="J950" t="s">
        <v>37</v>
      </c>
      <c r="K950"/>
      <c r="L950"/>
      <c r="M950" s="12">
        <v>1899.31</v>
      </c>
      <c r="N950" s="12">
        <v>496.68</v>
      </c>
      <c r="O950" s="12">
        <v>130</v>
      </c>
      <c r="P950" s="12">
        <v>643.65</v>
      </c>
      <c r="Q950" s="12"/>
      <c r="R950" s="12"/>
      <c r="S950" s="12"/>
      <c r="T950" s="12"/>
      <c r="U950" s="12">
        <v>390</v>
      </c>
      <c r="V950" s="12"/>
      <c r="W950" s="12"/>
      <c r="X950" s="12"/>
      <c r="Y950" s="12">
        <f t="shared" si="17"/>
        <v>3559.64</v>
      </c>
    </row>
    <row r="951" spans="1:25" ht="15">
      <c r="A951">
        <v>2013</v>
      </c>
      <c r="B951" t="s">
        <v>573</v>
      </c>
      <c r="C951" t="s">
        <v>7</v>
      </c>
      <c r="D951" t="s">
        <v>7</v>
      </c>
      <c r="E951" t="s">
        <v>37</v>
      </c>
      <c r="F951" t="s">
        <v>247</v>
      </c>
      <c r="G951" t="s">
        <v>439</v>
      </c>
      <c r="H951" t="s">
        <v>37</v>
      </c>
      <c r="I951" t="s">
        <v>37</v>
      </c>
      <c r="J951" t="s">
        <v>37</v>
      </c>
      <c r="K951"/>
      <c r="L951"/>
      <c r="M951" s="12">
        <v>497.13</v>
      </c>
      <c r="N951" s="12">
        <v>900.12</v>
      </c>
      <c r="O951" s="12">
        <v>1651.26</v>
      </c>
      <c r="P951" s="12">
        <v>1075.8800000000001</v>
      </c>
      <c r="Q951" s="12"/>
      <c r="R951" s="12"/>
      <c r="S951" s="12"/>
      <c r="T951" s="12"/>
      <c r="U951" s="12">
        <v>401.21</v>
      </c>
      <c r="V951" s="12">
        <v>1043.94</v>
      </c>
      <c r="W951" s="12">
        <v>1100</v>
      </c>
      <c r="X951" s="12">
        <v>1100</v>
      </c>
      <c r="Y951" s="12">
        <f t="shared" si="17"/>
        <v>7769.5400000000009</v>
      </c>
    </row>
    <row r="952" spans="1:25" ht="15">
      <c r="A952">
        <v>2013</v>
      </c>
      <c r="B952" t="s">
        <v>573</v>
      </c>
      <c r="C952" t="s">
        <v>7</v>
      </c>
      <c r="D952" t="s">
        <v>7</v>
      </c>
      <c r="E952" t="s">
        <v>20</v>
      </c>
      <c r="F952" t="s">
        <v>234</v>
      </c>
      <c r="G952" t="s">
        <v>439</v>
      </c>
      <c r="H952" t="s">
        <v>20</v>
      </c>
      <c r="I952" t="s">
        <v>20</v>
      </c>
      <c r="J952" t="s">
        <v>238</v>
      </c>
      <c r="K952"/>
      <c r="L952"/>
      <c r="M952" s="12">
        <v>1095.8399999999999</v>
      </c>
      <c r="N952" s="12"/>
      <c r="O952" s="12">
        <v>1020.96</v>
      </c>
      <c r="P952" s="12"/>
      <c r="Q952" s="12"/>
      <c r="R952" s="12"/>
      <c r="S952" s="12"/>
      <c r="T952" s="12"/>
      <c r="U952" s="12"/>
      <c r="V952" s="12">
        <v>540</v>
      </c>
      <c r="W952" s="12"/>
      <c r="X952" s="12"/>
      <c r="Y952" s="12">
        <f t="shared" si="17"/>
        <v>2656.8</v>
      </c>
    </row>
    <row r="953" spans="1:25" ht="15">
      <c r="A953">
        <v>2013</v>
      </c>
      <c r="B953" t="s">
        <v>573</v>
      </c>
      <c r="C953" t="s">
        <v>7</v>
      </c>
      <c r="D953" t="s">
        <v>7</v>
      </c>
      <c r="E953" t="s">
        <v>20</v>
      </c>
      <c r="F953" t="s">
        <v>234</v>
      </c>
      <c r="G953" t="s">
        <v>439</v>
      </c>
      <c r="H953" t="s">
        <v>20</v>
      </c>
      <c r="I953" t="s">
        <v>20</v>
      </c>
      <c r="J953" t="s">
        <v>279</v>
      </c>
      <c r="K953"/>
      <c r="L953"/>
      <c r="M953" s="12">
        <v>25084.15</v>
      </c>
      <c r="N953" s="12">
        <v>28179.42</v>
      </c>
      <c r="O953" s="12">
        <v>21817.88</v>
      </c>
      <c r="P953" s="12"/>
      <c r="Q953" s="12">
        <v>32797.08</v>
      </c>
      <c r="R953" s="12">
        <v>5902.65</v>
      </c>
      <c r="S953" s="12">
        <v>423</v>
      </c>
      <c r="T953" s="12">
        <v>522</v>
      </c>
      <c r="U953" s="12"/>
      <c r="V953" s="12"/>
      <c r="W953" s="12"/>
      <c r="X953" s="12"/>
      <c r="Y953" s="12">
        <f t="shared" si="17"/>
        <v>114726.18</v>
      </c>
    </row>
    <row r="954" spans="1:25" ht="15">
      <c r="A954">
        <v>2013</v>
      </c>
      <c r="B954" t="s">
        <v>573</v>
      </c>
      <c r="C954" t="s">
        <v>7</v>
      </c>
      <c r="D954" t="s">
        <v>7</v>
      </c>
      <c r="E954" t="s">
        <v>20</v>
      </c>
      <c r="F954" t="s">
        <v>166</v>
      </c>
      <c r="G954" t="s">
        <v>439</v>
      </c>
      <c r="H954" t="s">
        <v>20</v>
      </c>
      <c r="I954" t="s">
        <v>20</v>
      </c>
      <c r="J954" t="s">
        <v>279</v>
      </c>
      <c r="K954"/>
      <c r="L954"/>
      <c r="M954" s="12">
        <v>432</v>
      </c>
      <c r="N954" s="12">
        <v>314</v>
      </c>
      <c r="O954" s="12"/>
      <c r="P954" s="12">
        <v>227.8</v>
      </c>
      <c r="Q954" s="12"/>
      <c r="R954" s="12"/>
      <c r="S954" s="12"/>
      <c r="T954" s="12"/>
      <c r="U954" s="12"/>
      <c r="V954" s="12"/>
      <c r="W954" s="12"/>
      <c r="X954" s="12"/>
      <c r="Y954" s="12">
        <f t="shared" si="17"/>
        <v>973.8</v>
      </c>
    </row>
    <row r="955" spans="1:25" ht="15">
      <c r="A955">
        <v>2013</v>
      </c>
      <c r="B955" t="s">
        <v>573</v>
      </c>
      <c r="C955" t="s">
        <v>7</v>
      </c>
      <c r="D955" t="s">
        <v>7</v>
      </c>
      <c r="E955" t="s">
        <v>327</v>
      </c>
      <c r="F955" t="s">
        <v>236</v>
      </c>
      <c r="G955" t="s">
        <v>439</v>
      </c>
      <c r="H955" t="s">
        <v>327</v>
      </c>
      <c r="I955" t="s">
        <v>327</v>
      </c>
      <c r="J955" t="s">
        <v>328</v>
      </c>
      <c r="K955"/>
      <c r="L955"/>
      <c r="M955" s="12">
        <v>428</v>
      </c>
      <c r="N955" s="12">
        <v>428</v>
      </c>
      <c r="O955" s="12">
        <v>428</v>
      </c>
      <c r="P955" s="12">
        <v>428</v>
      </c>
      <c r="Q955" s="12">
        <v>428</v>
      </c>
      <c r="R955" s="12">
        <v>428</v>
      </c>
      <c r="S955" s="12">
        <v>428</v>
      </c>
      <c r="T955" s="12">
        <v>428</v>
      </c>
      <c r="U955" s="12">
        <v>428</v>
      </c>
      <c r="V955" s="12">
        <v>428</v>
      </c>
      <c r="W955" s="12"/>
      <c r="X955" s="12"/>
      <c r="Y955" s="12">
        <f t="shared" si="17"/>
        <v>4280</v>
      </c>
    </row>
    <row r="956" spans="1:25" ht="15">
      <c r="A956">
        <v>2013</v>
      </c>
      <c r="B956" t="s">
        <v>573</v>
      </c>
      <c r="C956" t="s">
        <v>7</v>
      </c>
      <c r="D956" t="s">
        <v>7</v>
      </c>
      <c r="E956" t="s">
        <v>327</v>
      </c>
      <c r="F956" t="s">
        <v>236</v>
      </c>
      <c r="G956" t="s">
        <v>439</v>
      </c>
      <c r="H956" t="s">
        <v>327</v>
      </c>
      <c r="I956" t="s">
        <v>327</v>
      </c>
      <c r="J956" t="s">
        <v>331</v>
      </c>
      <c r="K956"/>
      <c r="L956"/>
      <c r="M956" s="12">
        <v>1591.95</v>
      </c>
      <c r="N956" s="12">
        <v>2390.92</v>
      </c>
      <c r="O956" s="12">
        <v>3693.24</v>
      </c>
      <c r="P956" s="12">
        <v>8372.35</v>
      </c>
      <c r="Q956" s="12">
        <v>8216.92</v>
      </c>
      <c r="R956" s="12">
        <v>11405.46</v>
      </c>
      <c r="S956" s="12">
        <v>18082.310000000001</v>
      </c>
      <c r="T956" s="12">
        <v>4434.45</v>
      </c>
      <c r="U956" s="12">
        <v>3817.38</v>
      </c>
      <c r="V956" s="12">
        <v>2978.29</v>
      </c>
      <c r="W956" s="12"/>
      <c r="X956" s="12"/>
      <c r="Y956" s="12">
        <f t="shared" si="17"/>
        <v>64983.26999999999</v>
      </c>
    </row>
    <row r="957" spans="1:25" ht="15">
      <c r="A957">
        <v>2013</v>
      </c>
      <c r="B957" t="s">
        <v>573</v>
      </c>
      <c r="C957" t="s">
        <v>7</v>
      </c>
      <c r="D957" t="s">
        <v>7</v>
      </c>
      <c r="E957" t="s">
        <v>327</v>
      </c>
      <c r="F957" t="s">
        <v>234</v>
      </c>
      <c r="G957" t="s">
        <v>439</v>
      </c>
      <c r="H957" t="s">
        <v>327</v>
      </c>
      <c r="I957" t="s">
        <v>327</v>
      </c>
      <c r="J957" t="s">
        <v>580</v>
      </c>
      <c r="K957"/>
      <c r="L957"/>
      <c r="M957" s="12">
        <v>2035.25</v>
      </c>
      <c r="N957" s="12">
        <v>11217.3</v>
      </c>
      <c r="O957" s="12">
        <v>7886.1</v>
      </c>
      <c r="P957" s="12"/>
      <c r="Q957" s="12">
        <v>3907.68</v>
      </c>
      <c r="R957" s="12">
        <v>5712.7</v>
      </c>
      <c r="S957" s="12">
        <v>5806.76</v>
      </c>
      <c r="T957" s="12">
        <v>8643.5</v>
      </c>
      <c r="U957" s="12">
        <v>8995.2999999999993</v>
      </c>
      <c r="V957" s="12"/>
      <c r="W957" s="12"/>
      <c r="X957" s="12"/>
      <c r="Y957" s="12">
        <f t="shared" si="17"/>
        <v>54204.59</v>
      </c>
    </row>
    <row r="958" spans="1:25" ht="15">
      <c r="A958">
        <v>2013</v>
      </c>
      <c r="B958" t="s">
        <v>573</v>
      </c>
      <c r="C958" t="s">
        <v>7</v>
      </c>
      <c r="D958" t="s">
        <v>7</v>
      </c>
      <c r="E958" t="s">
        <v>327</v>
      </c>
      <c r="F958" t="s">
        <v>166</v>
      </c>
      <c r="G958" t="s">
        <v>439</v>
      </c>
      <c r="H958" t="s">
        <v>327</v>
      </c>
      <c r="I958" t="s">
        <v>327</v>
      </c>
      <c r="J958" t="s">
        <v>328</v>
      </c>
      <c r="K958"/>
      <c r="L958"/>
      <c r="M958" s="12"/>
      <c r="N958" s="12"/>
      <c r="O958" s="12"/>
      <c r="P958" s="12"/>
      <c r="Q958" s="12"/>
      <c r="R958" s="12"/>
      <c r="S958" s="12"/>
      <c r="T958" s="12"/>
      <c r="U958" s="12">
        <v>50</v>
      </c>
      <c r="V958" s="12"/>
      <c r="W958" s="12">
        <v>1000</v>
      </c>
      <c r="X958" s="12">
        <v>1000</v>
      </c>
      <c r="Y958" s="12">
        <f t="shared" si="17"/>
        <v>2050</v>
      </c>
    </row>
    <row r="959" spans="1:25" ht="15">
      <c r="A959">
        <v>2013</v>
      </c>
      <c r="B959" t="s">
        <v>573</v>
      </c>
      <c r="C959" t="s">
        <v>7</v>
      </c>
      <c r="D959" t="s">
        <v>7</v>
      </c>
      <c r="E959" t="s">
        <v>327</v>
      </c>
      <c r="F959" t="s">
        <v>166</v>
      </c>
      <c r="G959" t="s">
        <v>439</v>
      </c>
      <c r="H959" t="s">
        <v>327</v>
      </c>
      <c r="I959" t="s">
        <v>327</v>
      </c>
      <c r="J959" t="s">
        <v>581</v>
      </c>
      <c r="K959"/>
      <c r="L959"/>
      <c r="M959" s="12">
        <v>4774.5600000000004</v>
      </c>
      <c r="N959" s="12"/>
      <c r="O959" s="12">
        <v>643.47</v>
      </c>
      <c r="P959" s="12">
        <v>213.77</v>
      </c>
      <c r="Q959" s="12">
        <v>1551.31</v>
      </c>
      <c r="R959" s="12"/>
      <c r="S959" s="12"/>
      <c r="T959" s="12"/>
      <c r="U959" s="12"/>
      <c r="V959" s="12"/>
      <c r="W959" s="12"/>
      <c r="X959" s="12"/>
      <c r="Y959" s="12">
        <f t="shared" si="17"/>
        <v>7183.1100000000006</v>
      </c>
    </row>
    <row r="960" spans="1:25" ht="15">
      <c r="A960">
        <v>2013</v>
      </c>
      <c r="B960" t="s">
        <v>573</v>
      </c>
      <c r="C960" t="s">
        <v>7</v>
      </c>
      <c r="D960" t="s">
        <v>7</v>
      </c>
      <c r="E960" t="s">
        <v>327</v>
      </c>
      <c r="F960" t="s">
        <v>166</v>
      </c>
      <c r="G960" t="s">
        <v>439</v>
      </c>
      <c r="H960" t="s">
        <v>327</v>
      </c>
      <c r="I960" t="s">
        <v>327</v>
      </c>
      <c r="J960" t="s">
        <v>580</v>
      </c>
      <c r="K960"/>
      <c r="L960"/>
      <c r="M960" s="12"/>
      <c r="N960" s="12"/>
      <c r="O960" s="12"/>
      <c r="P960" s="12"/>
      <c r="Q960" s="12"/>
      <c r="R960" s="12"/>
      <c r="S960" s="12"/>
      <c r="T960" s="12"/>
      <c r="U960" s="12">
        <v>7824.38</v>
      </c>
      <c r="V960" s="12">
        <v>20403.490000000002</v>
      </c>
      <c r="W960" s="12"/>
      <c r="X960" s="12"/>
      <c r="Y960" s="12">
        <f t="shared" si="17"/>
        <v>28227.870000000003</v>
      </c>
    </row>
    <row r="961" spans="1:25" ht="15">
      <c r="A961">
        <v>2013</v>
      </c>
      <c r="B961" t="s">
        <v>573</v>
      </c>
      <c r="C961" t="s">
        <v>7</v>
      </c>
      <c r="D961" t="s">
        <v>7</v>
      </c>
      <c r="E961" t="s">
        <v>327</v>
      </c>
      <c r="F961" t="s">
        <v>166</v>
      </c>
      <c r="G961" t="s">
        <v>439</v>
      </c>
      <c r="H961" t="s">
        <v>327</v>
      </c>
      <c r="I961" t="s">
        <v>327</v>
      </c>
      <c r="J961" t="s">
        <v>582</v>
      </c>
      <c r="K961"/>
      <c r="L961"/>
      <c r="M961" s="12"/>
      <c r="N961" s="12"/>
      <c r="O961" s="12"/>
      <c r="P961" s="12"/>
      <c r="Q961" s="12"/>
      <c r="R961" s="12"/>
      <c r="S961" s="12"/>
      <c r="T961" s="12"/>
      <c r="U961" s="12">
        <v>250</v>
      </c>
      <c r="V961" s="12"/>
      <c r="W961" s="12"/>
      <c r="X961" s="12"/>
      <c r="Y961" s="12">
        <f t="shared" si="17"/>
        <v>250</v>
      </c>
    </row>
    <row r="962" spans="1:25" ht="15">
      <c r="A962">
        <v>2013</v>
      </c>
      <c r="B962" t="s">
        <v>573</v>
      </c>
      <c r="C962" t="s">
        <v>7</v>
      </c>
      <c r="D962" t="s">
        <v>7</v>
      </c>
      <c r="E962" t="s">
        <v>327</v>
      </c>
      <c r="F962" t="s">
        <v>166</v>
      </c>
      <c r="G962" t="s">
        <v>439</v>
      </c>
      <c r="H962" t="s">
        <v>327</v>
      </c>
      <c r="I962" t="s">
        <v>327</v>
      </c>
      <c r="J962" t="s">
        <v>331</v>
      </c>
      <c r="K962"/>
      <c r="L962"/>
      <c r="M962" s="12">
        <v>10798.59</v>
      </c>
      <c r="N962" s="12">
        <v>7818.55</v>
      </c>
      <c r="O962" s="12">
        <v>8545.7000000000007</v>
      </c>
      <c r="P962" s="12">
        <v>8538.69</v>
      </c>
      <c r="Q962" s="12">
        <v>16802.830000000002</v>
      </c>
      <c r="R962" s="12">
        <v>90025.69</v>
      </c>
      <c r="S962" s="12">
        <v>25967.059999999998</v>
      </c>
      <c r="T962" s="12">
        <v>19841.45</v>
      </c>
      <c r="U962" s="12">
        <v>7810.2199999999993</v>
      </c>
      <c r="V962" s="12">
        <v>8317.1999999999971</v>
      </c>
      <c r="W962" s="12">
        <v>25000</v>
      </c>
      <c r="X962" s="12">
        <v>25000</v>
      </c>
      <c r="Y962" s="12">
        <f t="shared" si="17"/>
        <v>254465.97999999998</v>
      </c>
    </row>
    <row r="963" spans="1:25" ht="15">
      <c r="A963">
        <v>2013</v>
      </c>
      <c r="B963" t="s">
        <v>573</v>
      </c>
      <c r="C963" t="s">
        <v>7</v>
      </c>
      <c r="D963" t="s">
        <v>7</v>
      </c>
      <c r="E963" t="s">
        <v>327</v>
      </c>
      <c r="F963" t="s">
        <v>247</v>
      </c>
      <c r="G963" t="s">
        <v>439</v>
      </c>
      <c r="H963" t="s">
        <v>327</v>
      </c>
      <c r="I963" t="s">
        <v>327</v>
      </c>
      <c r="J963" t="s">
        <v>331</v>
      </c>
      <c r="K963"/>
      <c r="L963"/>
      <c r="M963" s="12"/>
      <c r="N963" s="12"/>
      <c r="O963" s="12"/>
      <c r="P963" s="12"/>
      <c r="Q963" s="12"/>
      <c r="R963" s="12"/>
      <c r="S963" s="12">
        <v>64</v>
      </c>
      <c r="T963" s="12"/>
      <c r="U963" s="12"/>
      <c r="V963" s="12"/>
      <c r="W963" s="12"/>
      <c r="X963" s="12"/>
      <c r="Y963" s="12">
        <f t="shared" si="17"/>
        <v>64</v>
      </c>
    </row>
    <row r="964" spans="1:25" ht="15">
      <c r="A964">
        <v>2013</v>
      </c>
      <c r="B964" t="s">
        <v>573</v>
      </c>
      <c r="C964" t="s">
        <v>7</v>
      </c>
      <c r="D964" t="s">
        <v>7</v>
      </c>
      <c r="E964" t="s">
        <v>27</v>
      </c>
      <c r="F964" t="s">
        <v>78</v>
      </c>
      <c r="G964" t="s">
        <v>439</v>
      </c>
      <c r="H964" t="s">
        <v>27</v>
      </c>
      <c r="I964" t="s">
        <v>27</v>
      </c>
      <c r="J964" t="s">
        <v>28</v>
      </c>
      <c r="K964"/>
      <c r="L964"/>
      <c r="M964" s="12">
        <v>132.63999999999999</v>
      </c>
      <c r="N964" s="12">
        <v>29.8</v>
      </c>
      <c r="O964" s="12">
        <v>56.63</v>
      </c>
      <c r="P964" s="12">
        <v>54.56</v>
      </c>
      <c r="Q964" s="12">
        <v>58.32</v>
      </c>
      <c r="R964" s="12">
        <v>46.52</v>
      </c>
      <c r="S964" s="12">
        <v>51</v>
      </c>
      <c r="T964" s="12"/>
      <c r="U964" s="12"/>
      <c r="V964" s="12"/>
      <c r="W964" s="12"/>
      <c r="X964" s="12"/>
      <c r="Y964" s="12">
        <f t="shared" si="17"/>
        <v>429.46999999999997</v>
      </c>
    </row>
    <row r="965" spans="1:25" ht="15">
      <c r="A965">
        <v>2013</v>
      </c>
      <c r="B965" t="s">
        <v>573</v>
      </c>
      <c r="C965" t="s">
        <v>7</v>
      </c>
      <c r="D965" t="s">
        <v>7</v>
      </c>
      <c r="E965" t="s">
        <v>27</v>
      </c>
      <c r="F965" t="s">
        <v>85</v>
      </c>
      <c r="G965" t="s">
        <v>439</v>
      </c>
      <c r="H965" t="s">
        <v>27</v>
      </c>
      <c r="I965" t="s">
        <v>27</v>
      </c>
      <c r="J965" t="s">
        <v>28</v>
      </c>
      <c r="K965"/>
      <c r="L965"/>
      <c r="M965" s="12"/>
      <c r="N965" s="12"/>
      <c r="O965" s="12">
        <v>96.97</v>
      </c>
      <c r="P965" s="12">
        <v>89.4</v>
      </c>
      <c r="Q965" s="12">
        <v>111</v>
      </c>
      <c r="R965" s="12">
        <v>180.16</v>
      </c>
      <c r="S965" s="12">
        <v>48.84</v>
      </c>
      <c r="T965" s="12"/>
      <c r="U965" s="12"/>
      <c r="V965" s="12"/>
      <c r="W965" s="12"/>
      <c r="X965" s="12">
        <v>50</v>
      </c>
      <c r="Y965" s="12">
        <f t="shared" si="17"/>
        <v>576.37</v>
      </c>
    </row>
    <row r="966" spans="1:25" ht="15">
      <c r="A966">
        <v>2013</v>
      </c>
      <c r="B966" t="s">
        <v>573</v>
      </c>
      <c r="C966" t="s">
        <v>7</v>
      </c>
      <c r="D966" t="s">
        <v>7</v>
      </c>
      <c r="E966" t="s">
        <v>27</v>
      </c>
      <c r="F966" t="s">
        <v>236</v>
      </c>
      <c r="G966" t="s">
        <v>439</v>
      </c>
      <c r="H966" t="s">
        <v>27</v>
      </c>
      <c r="I966" t="s">
        <v>27</v>
      </c>
      <c r="J966" t="s">
        <v>28</v>
      </c>
      <c r="K966"/>
      <c r="L966"/>
      <c r="M966" s="12">
        <v>2073.8200000000002</v>
      </c>
      <c r="N966" s="12">
        <v>1955.29</v>
      </c>
      <c r="O966" s="12">
        <v>2024.55</v>
      </c>
      <c r="P966" s="12">
        <v>2253.1999999999998</v>
      </c>
      <c r="Q966" s="12">
        <v>2090.09</v>
      </c>
      <c r="R966" s="12">
        <v>2405.34</v>
      </c>
      <c r="S966" s="12">
        <v>2250.94</v>
      </c>
      <c r="T966" s="12">
        <v>1850.84</v>
      </c>
      <c r="U966" s="12">
        <v>2147.12</v>
      </c>
      <c r="V966" s="12">
        <v>1934.52</v>
      </c>
      <c r="W966" s="12">
        <v>2500</v>
      </c>
      <c r="X966" s="12">
        <v>2500</v>
      </c>
      <c r="Y966" s="12">
        <f t="shared" si="17"/>
        <v>25985.71</v>
      </c>
    </row>
    <row r="967" spans="1:25" ht="15">
      <c r="A967">
        <v>2013</v>
      </c>
      <c r="B967" t="s">
        <v>573</v>
      </c>
      <c r="C967" t="s">
        <v>7</v>
      </c>
      <c r="D967" t="s">
        <v>7</v>
      </c>
      <c r="E967" t="s">
        <v>27</v>
      </c>
      <c r="F967" t="s">
        <v>220</v>
      </c>
      <c r="G967" t="s">
        <v>439</v>
      </c>
      <c r="H967" t="s">
        <v>27</v>
      </c>
      <c r="I967" t="s">
        <v>27</v>
      </c>
      <c r="J967" t="s">
        <v>28</v>
      </c>
      <c r="K967"/>
      <c r="L967"/>
      <c r="M967" s="12"/>
      <c r="N967" s="12">
        <v>103.15</v>
      </c>
      <c r="O967" s="12">
        <v>39.520000000000003</v>
      </c>
      <c r="P967" s="12">
        <v>97.98</v>
      </c>
      <c r="Q967" s="12">
        <v>59.59</v>
      </c>
      <c r="R967" s="12"/>
      <c r="S967" s="12">
        <v>29.8</v>
      </c>
      <c r="T967" s="12">
        <v>94.91</v>
      </c>
      <c r="U967" s="12">
        <v>129.80000000000001</v>
      </c>
      <c r="V967" s="12">
        <v>211.5</v>
      </c>
      <c r="W967" s="12">
        <v>100</v>
      </c>
      <c r="X967" s="12">
        <v>250</v>
      </c>
      <c r="Y967" s="12">
        <f t="shared" si="17"/>
        <v>1116.25</v>
      </c>
    </row>
    <row r="968" spans="1:25" ht="15">
      <c r="A968">
        <v>2013</v>
      </c>
      <c r="B968" t="s">
        <v>573</v>
      </c>
      <c r="C968" t="s">
        <v>7</v>
      </c>
      <c r="D968" t="s">
        <v>7</v>
      </c>
      <c r="E968" t="s">
        <v>27</v>
      </c>
      <c r="F968" t="s">
        <v>234</v>
      </c>
      <c r="G968" t="s">
        <v>439</v>
      </c>
      <c r="H968" t="s">
        <v>27</v>
      </c>
      <c r="I968" t="s">
        <v>27</v>
      </c>
      <c r="J968" t="s">
        <v>28</v>
      </c>
      <c r="K968"/>
      <c r="L968"/>
      <c r="M968" s="12">
        <v>255.14</v>
      </c>
      <c r="N968" s="12">
        <v>153.30000000000001</v>
      </c>
      <c r="O968" s="12">
        <v>304.24</v>
      </c>
      <c r="P968" s="12">
        <v>140.30000000000001</v>
      </c>
      <c r="Q968" s="12">
        <v>300.08</v>
      </c>
      <c r="R968" s="12">
        <v>174</v>
      </c>
      <c r="S968" s="12">
        <v>437.29</v>
      </c>
      <c r="T968" s="12">
        <v>150.52000000000001</v>
      </c>
      <c r="U968" s="12">
        <v>248.74</v>
      </c>
      <c r="V968" s="12">
        <v>143.94999999999999</v>
      </c>
      <c r="W968" s="12">
        <v>150</v>
      </c>
      <c r="X968" s="12">
        <v>150</v>
      </c>
      <c r="Y968" s="12">
        <f t="shared" si="17"/>
        <v>2607.5599999999995</v>
      </c>
    </row>
    <row r="969" spans="1:25" ht="15">
      <c r="A969">
        <v>2013</v>
      </c>
      <c r="B969" t="s">
        <v>573</v>
      </c>
      <c r="C969" t="s">
        <v>7</v>
      </c>
      <c r="D969" t="s">
        <v>7</v>
      </c>
      <c r="E969" t="s">
        <v>27</v>
      </c>
      <c r="F969" t="s">
        <v>81</v>
      </c>
      <c r="G969" t="s">
        <v>439</v>
      </c>
      <c r="H969" t="s">
        <v>27</v>
      </c>
      <c r="I969" t="s">
        <v>27</v>
      </c>
      <c r="J969" t="s">
        <v>28</v>
      </c>
      <c r="K969"/>
      <c r="L969"/>
      <c r="M969" s="12"/>
      <c r="N969" s="12"/>
      <c r="O969" s="12">
        <v>273.69</v>
      </c>
      <c r="P969" s="12">
        <v>50</v>
      </c>
      <c r="Q969" s="12">
        <v>45.24</v>
      </c>
      <c r="R969" s="12">
        <v>29.8</v>
      </c>
      <c r="S969" s="12">
        <v>103.96</v>
      </c>
      <c r="T969" s="12"/>
      <c r="U969" s="12">
        <v>227.59</v>
      </c>
      <c r="V969" s="12">
        <v>484.07</v>
      </c>
      <c r="W969" s="12">
        <v>350</v>
      </c>
      <c r="X969" s="12">
        <v>350</v>
      </c>
      <c r="Y969" s="12">
        <f t="shared" si="17"/>
        <v>1914.35</v>
      </c>
    </row>
    <row r="970" spans="1:25" ht="15">
      <c r="A970">
        <v>2013</v>
      </c>
      <c r="B970" t="s">
        <v>573</v>
      </c>
      <c r="C970" t="s">
        <v>7</v>
      </c>
      <c r="D970" t="s">
        <v>7</v>
      </c>
      <c r="E970" t="s">
        <v>27</v>
      </c>
      <c r="F970" t="s">
        <v>237</v>
      </c>
      <c r="G970" t="s">
        <v>439</v>
      </c>
      <c r="H970" t="s">
        <v>27</v>
      </c>
      <c r="I970" t="s">
        <v>27</v>
      </c>
      <c r="J970" t="s">
        <v>28</v>
      </c>
      <c r="K970"/>
      <c r="L970"/>
      <c r="M970" s="12"/>
      <c r="N970" s="12"/>
      <c r="O970" s="12">
        <v>84.43</v>
      </c>
      <c r="P970" s="12">
        <v>150.25</v>
      </c>
      <c r="Q970" s="12">
        <v>50.56</v>
      </c>
      <c r="R970" s="12"/>
      <c r="S970" s="12"/>
      <c r="T970" s="12">
        <v>41.58</v>
      </c>
      <c r="U970" s="12">
        <v>56.1</v>
      </c>
      <c r="V970" s="12">
        <v>71.64</v>
      </c>
      <c r="W970" s="12">
        <v>50</v>
      </c>
      <c r="X970" s="12">
        <v>50</v>
      </c>
      <c r="Y970" s="12">
        <f t="shared" si="17"/>
        <v>554.55999999999995</v>
      </c>
    </row>
    <row r="971" spans="1:25" ht="15">
      <c r="A971">
        <v>2013</v>
      </c>
      <c r="B971" t="s">
        <v>573</v>
      </c>
      <c r="C971" t="s">
        <v>7</v>
      </c>
      <c r="D971" t="s">
        <v>7</v>
      </c>
      <c r="E971" t="s">
        <v>27</v>
      </c>
      <c r="F971" t="s">
        <v>237</v>
      </c>
      <c r="G971" t="s">
        <v>439</v>
      </c>
      <c r="H971" t="s">
        <v>27</v>
      </c>
      <c r="I971" t="s">
        <v>27</v>
      </c>
      <c r="J971" t="s">
        <v>60</v>
      </c>
      <c r="K971"/>
      <c r="L971"/>
      <c r="M971" s="12">
        <v>8319.59</v>
      </c>
      <c r="N971" s="12">
        <v>7371.12</v>
      </c>
      <c r="O971" s="12">
        <v>10110.36</v>
      </c>
      <c r="P971" s="12">
        <v>5359.07</v>
      </c>
      <c r="Q971" s="12">
        <v>3211.52</v>
      </c>
      <c r="R971" s="12">
        <v>7933.22</v>
      </c>
      <c r="S971" s="12">
        <v>3405.12</v>
      </c>
      <c r="T971" s="12">
        <v>13259.9</v>
      </c>
      <c r="U971" s="12">
        <v>5163.1400000000003</v>
      </c>
      <c r="V971" s="12">
        <v>11039.11</v>
      </c>
      <c r="W971" s="12">
        <v>8000</v>
      </c>
      <c r="X971" s="12">
        <v>8000</v>
      </c>
      <c r="Y971" s="12">
        <f t="shared" si="17"/>
        <v>91172.15</v>
      </c>
    </row>
    <row r="972" spans="1:25" ht="15">
      <c r="A972">
        <v>2013</v>
      </c>
      <c r="B972" t="s">
        <v>573</v>
      </c>
      <c r="C972" t="s">
        <v>7</v>
      </c>
      <c r="D972" t="s">
        <v>7</v>
      </c>
      <c r="E972" t="s">
        <v>27</v>
      </c>
      <c r="F972" t="s">
        <v>213</v>
      </c>
      <c r="G972" t="s">
        <v>439</v>
      </c>
      <c r="H972" t="s">
        <v>27</v>
      </c>
      <c r="I972" t="s">
        <v>27</v>
      </c>
      <c r="J972" t="s">
        <v>28</v>
      </c>
      <c r="K972"/>
      <c r="L972"/>
      <c r="M972" s="12">
        <v>100.27</v>
      </c>
      <c r="N972" s="12">
        <v>98.81</v>
      </c>
      <c r="O972" s="12">
        <v>100.67</v>
      </c>
      <c r="P972" s="12">
        <v>102.79</v>
      </c>
      <c r="Q972" s="12">
        <v>99.71</v>
      </c>
      <c r="R972" s="12">
        <v>101.22</v>
      </c>
      <c r="S972" s="12">
        <v>111.65</v>
      </c>
      <c r="T972" s="12">
        <v>97.64</v>
      </c>
      <c r="U972" s="12">
        <v>99.68</v>
      </c>
      <c r="V972" s="12">
        <v>98.46</v>
      </c>
      <c r="W972" s="12">
        <v>500</v>
      </c>
      <c r="X972" s="12">
        <v>100</v>
      </c>
      <c r="Y972" s="12">
        <f t="shared" si="17"/>
        <v>1610.9</v>
      </c>
    </row>
    <row r="973" spans="1:25" ht="15">
      <c r="A973">
        <v>2013</v>
      </c>
      <c r="B973" t="s">
        <v>573</v>
      </c>
      <c r="C973" t="s">
        <v>7</v>
      </c>
      <c r="D973" t="s">
        <v>7</v>
      </c>
      <c r="E973" t="s">
        <v>27</v>
      </c>
      <c r="F973" t="s">
        <v>239</v>
      </c>
      <c r="G973" t="s">
        <v>439</v>
      </c>
      <c r="H973" t="s">
        <v>27</v>
      </c>
      <c r="I973" t="s">
        <v>27</v>
      </c>
      <c r="J973" t="s">
        <v>28</v>
      </c>
      <c r="K973"/>
      <c r="L973"/>
      <c r="M973" s="12">
        <v>112.73</v>
      </c>
      <c r="N973" s="12">
        <v>106.51</v>
      </c>
      <c r="O973" s="12">
        <v>100.09</v>
      </c>
      <c r="P973" s="12">
        <v>95.75</v>
      </c>
      <c r="Q973" s="12">
        <v>168.71</v>
      </c>
      <c r="R973" s="12">
        <v>198.72</v>
      </c>
      <c r="S973" s="12">
        <v>200.59</v>
      </c>
      <c r="T973" s="12">
        <v>203.23</v>
      </c>
      <c r="U973" s="12">
        <v>180.48</v>
      </c>
      <c r="V973" s="12">
        <v>198.48</v>
      </c>
      <c r="W973" s="12">
        <v>200</v>
      </c>
      <c r="X973" s="12">
        <v>200</v>
      </c>
      <c r="Y973" s="12">
        <f t="shared" si="17"/>
        <v>1965.2900000000002</v>
      </c>
    </row>
    <row r="974" spans="1:25" ht="15">
      <c r="A974">
        <v>2013</v>
      </c>
      <c r="B974" t="s">
        <v>573</v>
      </c>
      <c r="C974" t="s">
        <v>7</v>
      </c>
      <c r="D974" t="s">
        <v>7</v>
      </c>
      <c r="E974" t="s">
        <v>27</v>
      </c>
      <c r="F974" t="s">
        <v>258</v>
      </c>
      <c r="G974" t="s">
        <v>439</v>
      </c>
      <c r="H974" t="s">
        <v>27</v>
      </c>
      <c r="I974" t="s">
        <v>27</v>
      </c>
      <c r="J974" t="s">
        <v>28</v>
      </c>
      <c r="K974"/>
      <c r="L974"/>
      <c r="M974" s="12">
        <v>237.69</v>
      </c>
      <c r="N974" s="12">
        <v>253.25</v>
      </c>
      <c r="O974" s="12">
        <v>383.53</v>
      </c>
      <c r="P974" s="12">
        <v>389.75</v>
      </c>
      <c r="Q974" s="12">
        <v>524.26</v>
      </c>
      <c r="R974" s="12">
        <v>389.47</v>
      </c>
      <c r="S974" s="12">
        <v>345.42</v>
      </c>
      <c r="T974" s="12">
        <v>360.95</v>
      </c>
      <c r="U974" s="12">
        <v>150.13</v>
      </c>
      <c r="V974" s="12">
        <v>239.95</v>
      </c>
      <c r="W974" s="12">
        <v>350</v>
      </c>
      <c r="X974" s="12">
        <v>350</v>
      </c>
      <c r="Y974" s="12">
        <f t="shared" si="17"/>
        <v>3974.3999999999996</v>
      </c>
    </row>
    <row r="975" spans="1:25" ht="15">
      <c r="A975">
        <v>2013</v>
      </c>
      <c r="B975" t="s">
        <v>573</v>
      </c>
      <c r="C975" t="s">
        <v>7</v>
      </c>
      <c r="D975" t="s">
        <v>7</v>
      </c>
      <c r="E975" t="s">
        <v>27</v>
      </c>
      <c r="F975" t="s">
        <v>94</v>
      </c>
      <c r="G975" t="s">
        <v>439</v>
      </c>
      <c r="H975" t="s">
        <v>27</v>
      </c>
      <c r="I975" t="s">
        <v>27</v>
      </c>
      <c r="J975" t="s">
        <v>28</v>
      </c>
      <c r="K975"/>
      <c r="L975"/>
      <c r="M975" s="12">
        <v>91.74</v>
      </c>
      <c r="N975" s="12">
        <v>156.15</v>
      </c>
      <c r="O975" s="12">
        <v>91.18</v>
      </c>
      <c r="P975" s="12">
        <v>89.71</v>
      </c>
      <c r="Q975" s="12">
        <v>79.56</v>
      </c>
      <c r="R975" s="12">
        <v>48.21</v>
      </c>
      <c r="S975" s="12">
        <v>32.25</v>
      </c>
      <c r="T975" s="12">
        <v>51.74</v>
      </c>
      <c r="U975" s="12">
        <v>122.7</v>
      </c>
      <c r="V975" s="12">
        <v>49.14</v>
      </c>
      <c r="W975" s="12">
        <v>100</v>
      </c>
      <c r="X975" s="12">
        <v>100</v>
      </c>
      <c r="Y975" s="12">
        <f t="shared" si="17"/>
        <v>1012.38</v>
      </c>
    </row>
    <row r="976" spans="1:25" ht="15">
      <c r="A976">
        <v>2013</v>
      </c>
      <c r="B976" t="s">
        <v>573</v>
      </c>
      <c r="C976" t="s">
        <v>7</v>
      </c>
      <c r="D976" t="s">
        <v>7</v>
      </c>
      <c r="E976" t="s">
        <v>27</v>
      </c>
      <c r="F976" t="s">
        <v>260</v>
      </c>
      <c r="G976" t="s">
        <v>439</v>
      </c>
      <c r="H976" t="s">
        <v>27</v>
      </c>
      <c r="I976" t="s">
        <v>27</v>
      </c>
      <c r="J976" t="s">
        <v>28</v>
      </c>
      <c r="K976"/>
      <c r="L976"/>
      <c r="M976" s="12">
        <v>73.44</v>
      </c>
      <c r="N976" s="12">
        <v>93.19</v>
      </c>
      <c r="O976" s="12">
        <v>100.93</v>
      </c>
      <c r="P976" s="12">
        <v>98.78</v>
      </c>
      <c r="Q976" s="12">
        <v>109.19</v>
      </c>
      <c r="R976" s="12">
        <v>68.56</v>
      </c>
      <c r="S976" s="12">
        <v>89.38</v>
      </c>
      <c r="T976" s="12">
        <v>104.02</v>
      </c>
      <c r="U976" s="12">
        <v>73.48</v>
      </c>
      <c r="V976" s="12">
        <v>405.2</v>
      </c>
      <c r="W976" s="12">
        <v>100</v>
      </c>
      <c r="X976" s="12">
        <v>100</v>
      </c>
      <c r="Y976" s="12">
        <f t="shared" si="17"/>
        <v>1416.17</v>
      </c>
    </row>
    <row r="977" spans="1:25" ht="15">
      <c r="A977">
        <v>2013</v>
      </c>
      <c r="B977" t="s">
        <v>573</v>
      </c>
      <c r="C977" t="s">
        <v>7</v>
      </c>
      <c r="D977" t="s">
        <v>7</v>
      </c>
      <c r="E977" t="s">
        <v>27</v>
      </c>
      <c r="F977" t="s">
        <v>8</v>
      </c>
      <c r="G977" t="s">
        <v>439</v>
      </c>
      <c r="H977" t="s">
        <v>27</v>
      </c>
      <c r="I977" t="s">
        <v>27</v>
      </c>
      <c r="J977" t="s">
        <v>28</v>
      </c>
      <c r="K977"/>
      <c r="L977"/>
      <c r="M977" s="12"/>
      <c r="N977" s="12">
        <v>129.41</v>
      </c>
      <c r="O977" s="12">
        <v>173.18</v>
      </c>
      <c r="P977" s="12">
        <v>113.94</v>
      </c>
      <c r="Q977" s="12">
        <v>178.8</v>
      </c>
      <c r="R977" s="12"/>
      <c r="S977" s="12">
        <v>92.91</v>
      </c>
      <c r="T977" s="12"/>
      <c r="U977" s="12"/>
      <c r="V977" s="12"/>
      <c r="W977" s="12"/>
      <c r="X977" s="12"/>
      <c r="Y977" s="12">
        <f t="shared" si="17"/>
        <v>688.24</v>
      </c>
    </row>
    <row r="978" spans="1:25" ht="15">
      <c r="A978">
        <v>2013</v>
      </c>
      <c r="B978" t="s">
        <v>573</v>
      </c>
      <c r="C978" t="s">
        <v>7</v>
      </c>
      <c r="D978" t="s">
        <v>7</v>
      </c>
      <c r="E978" t="s">
        <v>27</v>
      </c>
      <c r="F978" t="s">
        <v>166</v>
      </c>
      <c r="G978" t="s">
        <v>439</v>
      </c>
      <c r="H978" t="s">
        <v>27</v>
      </c>
      <c r="I978" t="s">
        <v>27</v>
      </c>
      <c r="J978" t="s">
        <v>28</v>
      </c>
      <c r="K978"/>
      <c r="L978"/>
      <c r="M978" s="12">
        <v>89.39</v>
      </c>
      <c r="N978" s="12">
        <v>102.1</v>
      </c>
      <c r="O978" s="12">
        <v>100</v>
      </c>
      <c r="P978" s="12">
        <v>129.93</v>
      </c>
      <c r="Q978" s="12">
        <v>100</v>
      </c>
      <c r="R978" s="12">
        <v>251.59</v>
      </c>
      <c r="S978" s="12">
        <v>96.16</v>
      </c>
      <c r="T978" s="12">
        <v>50.6</v>
      </c>
      <c r="U978" s="12">
        <v>49.62</v>
      </c>
      <c r="V978" s="12">
        <v>49.98</v>
      </c>
      <c r="W978" s="12">
        <v>50</v>
      </c>
      <c r="X978" s="12">
        <v>50</v>
      </c>
      <c r="Y978" s="12">
        <f t="shared" si="17"/>
        <v>1119.3700000000001</v>
      </c>
    </row>
    <row r="979" spans="1:25" ht="15">
      <c r="A979">
        <v>2013</v>
      </c>
      <c r="B979" t="s">
        <v>573</v>
      </c>
      <c r="C979" t="s">
        <v>7</v>
      </c>
      <c r="D979" t="s">
        <v>7</v>
      </c>
      <c r="E979" t="s">
        <v>27</v>
      </c>
      <c r="F979" t="s">
        <v>166</v>
      </c>
      <c r="G979" t="s">
        <v>439</v>
      </c>
      <c r="H979" t="s">
        <v>27</v>
      </c>
      <c r="I979" t="s">
        <v>27</v>
      </c>
      <c r="J979" t="s">
        <v>60</v>
      </c>
      <c r="K979"/>
      <c r="L979"/>
      <c r="M979" s="12">
        <v>600</v>
      </c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>
        <f t="shared" si="17"/>
        <v>600</v>
      </c>
    </row>
    <row r="980" spans="1:25" ht="15">
      <c r="A980">
        <v>2013</v>
      </c>
      <c r="B980" t="s">
        <v>573</v>
      </c>
      <c r="C980" t="s">
        <v>7</v>
      </c>
      <c r="D980" t="s">
        <v>7</v>
      </c>
      <c r="E980" t="s">
        <v>27</v>
      </c>
      <c r="F980" t="s">
        <v>208</v>
      </c>
      <c r="G980" t="s">
        <v>245</v>
      </c>
      <c r="H980" t="s">
        <v>27</v>
      </c>
      <c r="I980" t="s">
        <v>27</v>
      </c>
      <c r="J980" t="s">
        <v>28</v>
      </c>
      <c r="K980"/>
      <c r="L980"/>
      <c r="M980" s="12"/>
      <c r="N980" s="12"/>
      <c r="O980" s="12"/>
      <c r="P980" s="12"/>
      <c r="Q980" s="12"/>
      <c r="R980" s="12">
        <v>40.36</v>
      </c>
      <c r="S980" s="12">
        <v>36.46</v>
      </c>
      <c r="T980" s="12"/>
      <c r="U980" s="12"/>
      <c r="V980" s="12"/>
      <c r="W980" s="12"/>
      <c r="X980" s="12"/>
      <c r="Y980" s="12">
        <f t="shared" si="17"/>
        <v>76.819999999999993</v>
      </c>
    </row>
    <row r="981" spans="1:25" ht="15">
      <c r="A981">
        <v>2013</v>
      </c>
      <c r="B981" t="s">
        <v>573</v>
      </c>
      <c r="C981" t="s">
        <v>7</v>
      </c>
      <c r="D981" t="s">
        <v>7</v>
      </c>
      <c r="E981" t="s">
        <v>27</v>
      </c>
      <c r="F981" t="s">
        <v>208</v>
      </c>
      <c r="G981" t="s">
        <v>439</v>
      </c>
      <c r="H981" t="s">
        <v>27</v>
      </c>
      <c r="I981" t="s">
        <v>27</v>
      </c>
      <c r="J981" t="s">
        <v>28</v>
      </c>
      <c r="K981"/>
      <c r="L981"/>
      <c r="M981" s="12"/>
      <c r="N981" s="12">
        <v>28.55</v>
      </c>
      <c r="O981" s="12">
        <v>124.59</v>
      </c>
      <c r="P981" s="12">
        <v>52.57</v>
      </c>
      <c r="Q981" s="12">
        <v>47.74</v>
      </c>
      <c r="R981" s="12"/>
      <c r="S981" s="12"/>
      <c r="T981" s="12"/>
      <c r="U981" s="12">
        <v>144.43</v>
      </c>
      <c r="V981" s="12"/>
      <c r="W981" s="12"/>
      <c r="X981" s="12"/>
      <c r="Y981" s="12">
        <f t="shared" si="17"/>
        <v>397.88</v>
      </c>
    </row>
    <row r="982" spans="1:25" ht="15">
      <c r="A982">
        <v>2013</v>
      </c>
      <c r="B982" t="s">
        <v>573</v>
      </c>
      <c r="C982" t="s">
        <v>7</v>
      </c>
      <c r="D982" t="s">
        <v>7</v>
      </c>
      <c r="E982" t="s">
        <v>27</v>
      </c>
      <c r="F982" t="s">
        <v>247</v>
      </c>
      <c r="G982" t="s">
        <v>439</v>
      </c>
      <c r="H982" t="s">
        <v>27</v>
      </c>
      <c r="I982" t="s">
        <v>27</v>
      </c>
      <c r="J982" t="s">
        <v>28</v>
      </c>
      <c r="K982"/>
      <c r="L982"/>
      <c r="M982" s="12">
        <v>154.18</v>
      </c>
      <c r="N982" s="12">
        <v>142.06</v>
      </c>
      <c r="O982" s="12">
        <v>110.23</v>
      </c>
      <c r="P982" s="12">
        <v>106.06</v>
      </c>
      <c r="Q982" s="12">
        <v>131.08000000000001</v>
      </c>
      <c r="R982" s="12">
        <v>102.31</v>
      </c>
      <c r="S982" s="12">
        <v>79.52</v>
      </c>
      <c r="T982" s="12">
        <v>134.51</v>
      </c>
      <c r="U982" s="12">
        <v>127.9</v>
      </c>
      <c r="V982" s="12">
        <v>119.15</v>
      </c>
      <c r="W982" s="12">
        <v>150</v>
      </c>
      <c r="X982" s="12">
        <v>150</v>
      </c>
      <c r="Y982" s="12">
        <f t="shared" ref="Y982:Y1045" si="18">SUM(M982:X982)</f>
        <v>1507.0000000000002</v>
      </c>
    </row>
    <row r="983" spans="1:25" ht="15">
      <c r="A983">
        <v>2013</v>
      </c>
      <c r="B983" t="s">
        <v>573</v>
      </c>
      <c r="C983" t="s">
        <v>7</v>
      </c>
      <c r="D983" t="s">
        <v>7</v>
      </c>
      <c r="E983" t="s">
        <v>57</v>
      </c>
      <c r="F983" t="s">
        <v>239</v>
      </c>
      <c r="G983" t="s">
        <v>439</v>
      </c>
      <c r="H983" t="s">
        <v>57</v>
      </c>
      <c r="I983" t="s">
        <v>57</v>
      </c>
      <c r="J983" t="s">
        <v>241</v>
      </c>
      <c r="K983"/>
      <c r="L983"/>
      <c r="M983" s="12">
        <v>3321.93</v>
      </c>
      <c r="N983" s="12">
        <v>6114.44</v>
      </c>
      <c r="O983" s="12">
        <v>1209.67</v>
      </c>
      <c r="P983" s="12">
        <v>2278.16</v>
      </c>
      <c r="Q983" s="12">
        <v>1852.67</v>
      </c>
      <c r="R983" s="12">
        <v>1478.4</v>
      </c>
      <c r="S983" s="12"/>
      <c r="T983" s="12">
        <v>1209.68</v>
      </c>
      <c r="U983" s="12"/>
      <c r="V983" s="12"/>
      <c r="W983" s="12">
        <v>3000</v>
      </c>
      <c r="X983" s="12">
        <v>3000</v>
      </c>
      <c r="Y983" s="12">
        <f t="shared" si="18"/>
        <v>23464.949999999997</v>
      </c>
    </row>
    <row r="984" spans="1:25" ht="15">
      <c r="A984">
        <v>2013</v>
      </c>
      <c r="B984" t="s">
        <v>573</v>
      </c>
      <c r="C984" t="s">
        <v>7</v>
      </c>
      <c r="D984" t="s">
        <v>7</v>
      </c>
      <c r="E984" t="s">
        <v>57</v>
      </c>
      <c r="F984" t="s">
        <v>239</v>
      </c>
      <c r="G984" t="s">
        <v>439</v>
      </c>
      <c r="H984" t="s">
        <v>57</v>
      </c>
      <c r="I984" t="s">
        <v>57</v>
      </c>
      <c r="J984" t="s">
        <v>244</v>
      </c>
      <c r="K984"/>
      <c r="L984"/>
      <c r="M984" s="12">
        <v>14800</v>
      </c>
      <c r="N984" s="12">
        <v>9633</v>
      </c>
      <c r="O984" s="12">
        <v>14976</v>
      </c>
      <c r="P984" s="12"/>
      <c r="Q984" s="12">
        <v>4795.8</v>
      </c>
      <c r="R984" s="12"/>
      <c r="S984" s="12"/>
      <c r="T984" s="12">
        <v>67405.710000000006</v>
      </c>
      <c r="U984" s="12"/>
      <c r="V984" s="12">
        <v>6742.96</v>
      </c>
      <c r="W984" s="12">
        <v>2000</v>
      </c>
      <c r="X984" s="12">
        <v>5000</v>
      </c>
      <c r="Y984" s="12">
        <f t="shared" si="18"/>
        <v>125353.47000000002</v>
      </c>
    </row>
    <row r="985" spans="1:25" ht="15">
      <c r="A985">
        <v>2013</v>
      </c>
      <c r="B985" t="s">
        <v>573</v>
      </c>
      <c r="C985" t="s">
        <v>7</v>
      </c>
      <c r="D985" t="s">
        <v>7</v>
      </c>
      <c r="E985" t="s">
        <v>57</v>
      </c>
      <c r="F985" t="s">
        <v>239</v>
      </c>
      <c r="G985" t="s">
        <v>439</v>
      </c>
      <c r="H985" t="s">
        <v>583</v>
      </c>
      <c r="I985" t="s">
        <v>583</v>
      </c>
      <c r="J985" t="s">
        <v>583</v>
      </c>
      <c r="K985"/>
      <c r="L985"/>
      <c r="M985" s="12"/>
      <c r="N985" s="12"/>
      <c r="O985" s="12"/>
      <c r="P985" s="12"/>
      <c r="Q985" s="12"/>
      <c r="R985" s="12"/>
      <c r="S985" s="12">
        <v>2000</v>
      </c>
      <c r="T985" s="12"/>
      <c r="U985" s="12"/>
      <c r="V985" s="12"/>
      <c r="W985" s="12"/>
      <c r="X985" s="12"/>
      <c r="Y985" s="12">
        <f t="shared" si="18"/>
        <v>2000</v>
      </c>
    </row>
    <row r="986" spans="1:25" ht="15">
      <c r="A986">
        <v>2013</v>
      </c>
      <c r="B986" t="s">
        <v>573</v>
      </c>
      <c r="C986" t="s">
        <v>7</v>
      </c>
      <c r="D986" t="s">
        <v>7</v>
      </c>
      <c r="E986" t="s">
        <v>22</v>
      </c>
      <c r="F986" t="s">
        <v>234</v>
      </c>
      <c r="G986" t="s">
        <v>439</v>
      </c>
      <c r="H986" t="s">
        <v>22</v>
      </c>
      <c r="I986" t="s">
        <v>145</v>
      </c>
      <c r="J986" t="s">
        <v>146</v>
      </c>
      <c r="K986"/>
      <c r="L986"/>
      <c r="M986" s="12"/>
      <c r="N986" s="12"/>
      <c r="O986" s="12">
        <v>14960</v>
      </c>
      <c r="P986" s="12">
        <v>14960</v>
      </c>
      <c r="Q986" s="12">
        <v>12920</v>
      </c>
      <c r="R986" s="12"/>
      <c r="S986" s="12">
        <v>700</v>
      </c>
      <c r="T986" s="12"/>
      <c r="U986" s="12"/>
      <c r="V986" s="12"/>
      <c r="W986" s="12"/>
      <c r="X986" s="12"/>
      <c r="Y986" s="12">
        <f t="shared" si="18"/>
        <v>43540</v>
      </c>
    </row>
    <row r="987" spans="1:25" ht="15">
      <c r="A987">
        <v>2013</v>
      </c>
      <c r="B987" t="s">
        <v>573</v>
      </c>
      <c r="C987" t="s">
        <v>7</v>
      </c>
      <c r="D987" t="s">
        <v>7</v>
      </c>
      <c r="E987" t="s">
        <v>22</v>
      </c>
      <c r="F987" t="s">
        <v>213</v>
      </c>
      <c r="G987" t="s">
        <v>439</v>
      </c>
      <c r="H987" t="s">
        <v>22</v>
      </c>
      <c r="I987" t="s">
        <v>145</v>
      </c>
      <c r="J987" t="s">
        <v>262</v>
      </c>
      <c r="K987"/>
      <c r="L987"/>
      <c r="M987" s="12"/>
      <c r="N987" s="12">
        <v>4100</v>
      </c>
      <c r="O987" s="12">
        <v>4600</v>
      </c>
      <c r="P987" s="12"/>
      <c r="Q987" s="12"/>
      <c r="R987" s="12"/>
      <c r="S987" s="12"/>
      <c r="T987" s="12"/>
      <c r="U987" s="12"/>
      <c r="V987" s="12"/>
      <c r="W987" s="12"/>
      <c r="X987" s="12"/>
      <c r="Y987" s="12">
        <f t="shared" si="18"/>
        <v>8700</v>
      </c>
    </row>
    <row r="988" spans="1:25" ht="15">
      <c r="A988">
        <v>2013</v>
      </c>
      <c r="B988" t="s">
        <v>573</v>
      </c>
      <c r="C988" t="s">
        <v>7</v>
      </c>
      <c r="D988" t="s">
        <v>7</v>
      </c>
      <c r="E988" t="s">
        <v>22</v>
      </c>
      <c r="F988" t="s">
        <v>208</v>
      </c>
      <c r="G988" t="s">
        <v>245</v>
      </c>
      <c r="H988" t="s">
        <v>22</v>
      </c>
      <c r="I988" t="s">
        <v>23</v>
      </c>
      <c r="J988" t="s">
        <v>24</v>
      </c>
      <c r="K988"/>
      <c r="L988"/>
      <c r="M988" s="12"/>
      <c r="N988" s="12"/>
      <c r="O988" s="12"/>
      <c r="P988" s="12"/>
      <c r="Q988" s="12"/>
      <c r="R988" s="12"/>
      <c r="S988" s="12">
        <v>41</v>
      </c>
      <c r="T988" s="12"/>
      <c r="U988" s="12"/>
      <c r="V988" s="12"/>
      <c r="W988" s="12"/>
      <c r="X988" s="12"/>
      <c r="Y988" s="12">
        <f t="shared" si="18"/>
        <v>41</v>
      </c>
    </row>
    <row r="989" spans="1:25" ht="15">
      <c r="A989">
        <v>2013</v>
      </c>
      <c r="B989" t="s">
        <v>573</v>
      </c>
      <c r="C989" t="s">
        <v>7</v>
      </c>
      <c r="D989" t="s">
        <v>7</v>
      </c>
      <c r="E989" t="s">
        <v>22</v>
      </c>
      <c r="F989" t="s">
        <v>208</v>
      </c>
      <c r="G989" t="s">
        <v>245</v>
      </c>
      <c r="H989" t="s">
        <v>22</v>
      </c>
      <c r="I989" t="s">
        <v>23</v>
      </c>
      <c r="J989" t="s">
        <v>263</v>
      </c>
      <c r="K989"/>
      <c r="L989"/>
      <c r="M989" s="12"/>
      <c r="N989" s="12"/>
      <c r="O989" s="12"/>
      <c r="P989" s="12"/>
      <c r="Q989" s="12"/>
      <c r="R989" s="12">
        <v>35</v>
      </c>
      <c r="S989" s="12">
        <v>200</v>
      </c>
      <c r="T989" s="12"/>
      <c r="U989" s="12"/>
      <c r="V989" s="12"/>
      <c r="W989" s="12"/>
      <c r="X989" s="12"/>
      <c r="Y989" s="12">
        <f t="shared" si="18"/>
        <v>235</v>
      </c>
    </row>
    <row r="990" spans="1:25" ht="15">
      <c r="A990">
        <v>2013</v>
      </c>
      <c r="B990" t="s">
        <v>573</v>
      </c>
      <c r="C990" t="s">
        <v>7</v>
      </c>
      <c r="D990" t="s">
        <v>7</v>
      </c>
      <c r="E990" t="s">
        <v>22</v>
      </c>
      <c r="F990" t="s">
        <v>208</v>
      </c>
      <c r="G990" t="s">
        <v>439</v>
      </c>
      <c r="H990" t="s">
        <v>22</v>
      </c>
      <c r="I990" t="s">
        <v>23</v>
      </c>
      <c r="J990" t="s">
        <v>24</v>
      </c>
      <c r="K990"/>
      <c r="L990"/>
      <c r="M990" s="12"/>
      <c r="N990" s="12"/>
      <c r="O990" s="12"/>
      <c r="P990" s="12"/>
      <c r="Q990" s="12">
        <v>100</v>
      </c>
      <c r="R990" s="12"/>
      <c r="S990" s="12"/>
      <c r="T990" s="12"/>
      <c r="U990" s="12"/>
      <c r="V990" s="12"/>
      <c r="W990" s="12"/>
      <c r="X990" s="12"/>
      <c r="Y990" s="12">
        <f t="shared" si="18"/>
        <v>100</v>
      </c>
    </row>
    <row r="991" spans="1:25" ht="15">
      <c r="A991">
        <v>2013</v>
      </c>
      <c r="B991" t="s">
        <v>573</v>
      </c>
      <c r="C991" t="s">
        <v>7</v>
      </c>
      <c r="D991" t="s">
        <v>7</v>
      </c>
      <c r="E991" t="s">
        <v>22</v>
      </c>
      <c r="F991" t="s">
        <v>208</v>
      </c>
      <c r="G991" t="s">
        <v>439</v>
      </c>
      <c r="H991" t="s">
        <v>22</v>
      </c>
      <c r="I991" t="s">
        <v>23</v>
      </c>
      <c r="J991" t="s">
        <v>263</v>
      </c>
      <c r="K991"/>
      <c r="L991"/>
      <c r="M991" s="12">
        <v>8850.2999999999993</v>
      </c>
      <c r="N991" s="12">
        <v>200</v>
      </c>
      <c r="O991" s="12"/>
      <c r="P991" s="12">
        <v>3361</v>
      </c>
      <c r="Q991" s="12"/>
      <c r="R991" s="12"/>
      <c r="S991" s="12"/>
      <c r="T991" s="12"/>
      <c r="U991" s="12"/>
      <c r="V991" s="12"/>
      <c r="W991" s="12"/>
      <c r="X991" s="12"/>
      <c r="Y991" s="12">
        <f t="shared" si="18"/>
        <v>12411.3</v>
      </c>
    </row>
    <row r="992" spans="1:25" ht="15">
      <c r="A992">
        <v>2013</v>
      </c>
      <c r="B992" t="s">
        <v>573</v>
      </c>
      <c r="C992" t="s">
        <v>7</v>
      </c>
      <c r="D992" t="s">
        <v>7</v>
      </c>
      <c r="E992" t="s">
        <v>149</v>
      </c>
      <c r="F992" t="s">
        <v>78</v>
      </c>
      <c r="G992" t="s">
        <v>439</v>
      </c>
      <c r="H992" t="s">
        <v>149</v>
      </c>
      <c r="I992" t="s">
        <v>149</v>
      </c>
      <c r="J992" t="s">
        <v>150</v>
      </c>
      <c r="K992"/>
      <c r="L992"/>
      <c r="M992" s="12">
        <v>440.54411309557003</v>
      </c>
      <c r="N992" s="12">
        <v>341.83686241389898</v>
      </c>
      <c r="O992" s="12">
        <v>627.82204523599853</v>
      </c>
      <c r="P992" s="12">
        <v>677.88281198707682</v>
      </c>
      <c r="Q992" s="12">
        <v>579.5308900610022</v>
      </c>
      <c r="R992" s="12">
        <v>564.93570560095247</v>
      </c>
      <c r="S992" s="12">
        <v>697.4186323184864</v>
      </c>
      <c r="T992" s="12">
        <v>564.75404143306162</v>
      </c>
      <c r="U992" s="12">
        <v>519.82924813672537</v>
      </c>
      <c r="V992" s="12">
        <v>604.9437079097504</v>
      </c>
      <c r="W992" s="12">
        <v>594.88</v>
      </c>
      <c r="X992" s="12">
        <v>594.88</v>
      </c>
      <c r="Y992" s="12">
        <f t="shared" si="18"/>
        <v>6809.2580581925231</v>
      </c>
    </row>
    <row r="993" spans="1:25" ht="15">
      <c r="A993">
        <v>2013</v>
      </c>
      <c r="B993" t="s">
        <v>573</v>
      </c>
      <c r="C993" t="s">
        <v>7</v>
      </c>
      <c r="D993" t="s">
        <v>7</v>
      </c>
      <c r="E993" t="s">
        <v>149</v>
      </c>
      <c r="F993" t="s">
        <v>85</v>
      </c>
      <c r="G993" t="s">
        <v>439</v>
      </c>
      <c r="H993" t="s">
        <v>149</v>
      </c>
      <c r="I993" t="s">
        <v>149</v>
      </c>
      <c r="J993" t="s">
        <v>150</v>
      </c>
      <c r="K993"/>
      <c r="L993"/>
      <c r="M993" s="12">
        <v>440.54411309557003</v>
      </c>
      <c r="N993" s="12">
        <v>341.83686241389898</v>
      </c>
      <c r="O993" s="12">
        <v>627.82204523599853</v>
      </c>
      <c r="P993" s="12">
        <v>677.88281198707682</v>
      </c>
      <c r="Q993" s="12">
        <v>579.5308900610022</v>
      </c>
      <c r="R993" s="12">
        <v>564.93570560095247</v>
      </c>
      <c r="S993" s="12">
        <v>1744.0224405052047</v>
      </c>
      <c r="T993" s="12">
        <v>564.75404143306162</v>
      </c>
      <c r="U993" s="12">
        <v>519.82924813672537</v>
      </c>
      <c r="V993" s="12">
        <v>604.9437079097504</v>
      </c>
      <c r="W993" s="12">
        <v>594.88</v>
      </c>
      <c r="X993" s="12">
        <v>594.88</v>
      </c>
      <c r="Y993" s="12">
        <f t="shared" si="18"/>
        <v>7855.8618663792413</v>
      </c>
    </row>
    <row r="994" spans="1:25" ht="15">
      <c r="A994">
        <v>2013</v>
      </c>
      <c r="B994" t="s">
        <v>573</v>
      </c>
      <c r="C994" t="s">
        <v>7</v>
      </c>
      <c r="D994" t="s">
        <v>7</v>
      </c>
      <c r="E994" t="s">
        <v>149</v>
      </c>
      <c r="F994" t="s">
        <v>236</v>
      </c>
      <c r="G994" t="s">
        <v>439</v>
      </c>
      <c r="H994" t="s">
        <v>149</v>
      </c>
      <c r="I994" t="s">
        <v>149</v>
      </c>
      <c r="J994" t="s">
        <v>150</v>
      </c>
      <c r="K994"/>
      <c r="L994"/>
      <c r="M994" s="12">
        <v>9595.8754704262337</v>
      </c>
      <c r="N994" s="12">
        <v>7460.560748036678</v>
      </c>
      <c r="O994" s="12">
        <v>13141.098073594092</v>
      </c>
      <c r="P994" s="12">
        <v>14188.932329347173</v>
      </c>
      <c r="Q994" s="12">
        <v>11568.883444446812</v>
      </c>
      <c r="R994" s="12">
        <v>11277.527123732409</v>
      </c>
      <c r="S994" s="12">
        <v>8958.8716306307961</v>
      </c>
      <c r="T994" s="12">
        <v>11291.54921718643</v>
      </c>
      <c r="U994" s="12">
        <v>10393.334282255977</v>
      </c>
      <c r="V994" s="12">
        <v>12095.091226186158</v>
      </c>
      <c r="W994" s="12">
        <v>11893.88</v>
      </c>
      <c r="X994" s="12">
        <v>11893.88</v>
      </c>
      <c r="Y994" s="12">
        <f t="shared" si="18"/>
        <v>133759.48354584276</v>
      </c>
    </row>
    <row r="995" spans="1:25" ht="15">
      <c r="A995">
        <v>2013</v>
      </c>
      <c r="B995" t="s">
        <v>573</v>
      </c>
      <c r="C995" t="s">
        <v>7</v>
      </c>
      <c r="D995" t="s">
        <v>7</v>
      </c>
      <c r="E995" t="s">
        <v>149</v>
      </c>
      <c r="F995" t="s">
        <v>220</v>
      </c>
      <c r="G995" t="s">
        <v>439</v>
      </c>
      <c r="H995" t="s">
        <v>149</v>
      </c>
      <c r="I995" t="s">
        <v>149</v>
      </c>
      <c r="J995" t="s">
        <v>150</v>
      </c>
      <c r="K995"/>
      <c r="L995"/>
      <c r="M995" s="12">
        <v>3201.6540456982029</v>
      </c>
      <c r="N995" s="12">
        <v>2488.3882038345109</v>
      </c>
      <c r="O995" s="12">
        <v>4562.3902325766903</v>
      </c>
      <c r="P995" s="12">
        <v>1525.2363269709231</v>
      </c>
      <c r="Q995" s="12">
        <v>1303.9445026372548</v>
      </c>
      <c r="R995" s="12"/>
      <c r="S995" s="12">
        <v>1229.7707773477762</v>
      </c>
      <c r="T995" s="12">
        <v>1270.6965932243888</v>
      </c>
      <c r="U995" s="12">
        <v>1169.6158083076321</v>
      </c>
      <c r="V995" s="12">
        <v>1361.1233427969385</v>
      </c>
      <c r="W995" s="12">
        <v>1338.48</v>
      </c>
      <c r="X995" s="12">
        <v>1338.48</v>
      </c>
      <c r="Y995" s="12">
        <f t="shared" si="18"/>
        <v>20789.779833394317</v>
      </c>
    </row>
    <row r="996" spans="1:25" ht="15">
      <c r="A996">
        <v>2013</v>
      </c>
      <c r="B996" t="s">
        <v>573</v>
      </c>
      <c r="C996" t="s">
        <v>7</v>
      </c>
      <c r="D996" t="s">
        <v>7</v>
      </c>
      <c r="E996" t="s">
        <v>149</v>
      </c>
      <c r="F996" t="s">
        <v>234</v>
      </c>
      <c r="G996" t="s">
        <v>439</v>
      </c>
      <c r="H996" t="s">
        <v>149</v>
      </c>
      <c r="I996" t="s">
        <v>149</v>
      </c>
      <c r="J996" t="s">
        <v>150</v>
      </c>
      <c r="K996"/>
      <c r="L996"/>
      <c r="M996" s="12">
        <v>2351.9581422513493</v>
      </c>
      <c r="N996" s="12">
        <v>1834.6395915412627</v>
      </c>
      <c r="O996" s="12">
        <v>3364.5385291358984</v>
      </c>
      <c r="P996" s="12"/>
      <c r="Q996" s="12">
        <v>3605.4092775463337</v>
      </c>
      <c r="R996" s="12">
        <v>3514.6089175271736</v>
      </c>
      <c r="S996" s="12">
        <v>5093.9594318575855</v>
      </c>
      <c r="T996" s="12">
        <v>3027.4359624581989</v>
      </c>
      <c r="U996" s="12">
        <v>2786.6108866673071</v>
      </c>
      <c r="V996" s="12">
        <v>3242.8777878977949</v>
      </c>
      <c r="W996" s="12">
        <v>3188.93</v>
      </c>
      <c r="X996" s="12">
        <v>3188.93</v>
      </c>
      <c r="Y996" s="12">
        <f t="shared" si="18"/>
        <v>35199.898526882906</v>
      </c>
    </row>
    <row r="997" spans="1:25" ht="15">
      <c r="A997">
        <v>2013</v>
      </c>
      <c r="B997" t="s">
        <v>573</v>
      </c>
      <c r="C997" t="s">
        <v>7</v>
      </c>
      <c r="D997" t="s">
        <v>7</v>
      </c>
      <c r="E997" t="s">
        <v>149</v>
      </c>
      <c r="F997" t="s">
        <v>81</v>
      </c>
      <c r="G997" t="s">
        <v>439</v>
      </c>
      <c r="H997" t="s">
        <v>149</v>
      </c>
      <c r="I997" t="s">
        <v>149</v>
      </c>
      <c r="J997" t="s">
        <v>150</v>
      </c>
      <c r="K997"/>
      <c r="L997"/>
      <c r="M997" s="12">
        <v>2103.5966589120858</v>
      </c>
      <c r="N997" s="12">
        <v>1634.3715307331199</v>
      </c>
      <c r="O997" s="12">
        <v>2997.8481552499925</v>
      </c>
      <c r="P997" s="12">
        <v>3236.8881481809631</v>
      </c>
      <c r="Q997" s="12">
        <v>2767.2580516453399</v>
      </c>
      <c r="R997" s="12">
        <v>3544.969653319371</v>
      </c>
      <c r="S997" s="12">
        <v>2543.5761738925758</v>
      </c>
      <c r="T997" s="12">
        <v>2696.6986491270231</v>
      </c>
      <c r="U997" s="12">
        <v>2482.1829121751875</v>
      </c>
      <c r="V997" s="12">
        <v>2722.2466855938769</v>
      </c>
      <c r="W997" s="12">
        <v>2676.96</v>
      </c>
      <c r="X997" s="12">
        <v>2676.96</v>
      </c>
      <c r="Y997" s="12">
        <f t="shared" si="18"/>
        <v>32083.556618829534</v>
      </c>
    </row>
    <row r="998" spans="1:25" ht="15">
      <c r="A998">
        <v>2013</v>
      </c>
      <c r="B998" t="s">
        <v>573</v>
      </c>
      <c r="C998" t="s">
        <v>7</v>
      </c>
      <c r="D998" t="s">
        <v>7</v>
      </c>
      <c r="E998" t="s">
        <v>149</v>
      </c>
      <c r="F998" t="s">
        <v>237</v>
      </c>
      <c r="G998" t="s">
        <v>439</v>
      </c>
      <c r="H998" t="s">
        <v>149</v>
      </c>
      <c r="I998" t="s">
        <v>149</v>
      </c>
      <c r="J998" t="s">
        <v>150</v>
      </c>
      <c r="K998"/>
      <c r="L998"/>
      <c r="M998" s="12">
        <v>2175.1865584093766</v>
      </c>
      <c r="N998" s="12">
        <v>1690.7688582020796</v>
      </c>
      <c r="O998" s="12">
        <v>3099.8713483527426</v>
      </c>
      <c r="P998" s="12">
        <v>3347.0463841861915</v>
      </c>
      <c r="Q998" s="12">
        <v>2861.4337696761982</v>
      </c>
      <c r="R998" s="12">
        <v>2789.3700464047029</v>
      </c>
      <c r="S998" s="12">
        <v>3635.5342472841558</v>
      </c>
      <c r="T998" s="12">
        <v>2788.4730795757418</v>
      </c>
      <c r="U998" s="12">
        <v>2566.6569126750815</v>
      </c>
      <c r="V998" s="12">
        <v>2986.6858360189231</v>
      </c>
      <c r="W998" s="12">
        <v>2937.22</v>
      </c>
      <c r="X998" s="12">
        <v>2937.22</v>
      </c>
      <c r="Y998" s="12">
        <f t="shared" si="18"/>
        <v>33815.467040785188</v>
      </c>
    </row>
    <row r="999" spans="1:25" ht="15">
      <c r="A999">
        <v>2013</v>
      </c>
      <c r="B999" t="s">
        <v>573</v>
      </c>
      <c r="C999" t="s">
        <v>7</v>
      </c>
      <c r="D999" t="s">
        <v>7</v>
      </c>
      <c r="E999" t="s">
        <v>149</v>
      </c>
      <c r="F999" t="s">
        <v>213</v>
      </c>
      <c r="G999" t="s">
        <v>439</v>
      </c>
      <c r="H999" t="s">
        <v>149</v>
      </c>
      <c r="I999" t="s">
        <v>149</v>
      </c>
      <c r="J999" t="s">
        <v>150</v>
      </c>
      <c r="K999"/>
      <c r="L999"/>
      <c r="M999" s="12">
        <v>1982.4485089300649</v>
      </c>
      <c r="N999" s="12">
        <v>1539.9923296626157</v>
      </c>
      <c r="O999" s="12">
        <v>2825.1992035619933</v>
      </c>
      <c r="P999" s="12">
        <v>3050.4726539418461</v>
      </c>
      <c r="Q999" s="12">
        <v>2607.8890052745096</v>
      </c>
      <c r="R999" s="12">
        <v>2542.2106752042864</v>
      </c>
      <c r="S999" s="12">
        <v>2607.3040525669708</v>
      </c>
      <c r="T999" s="12">
        <v>2541.3931864487777</v>
      </c>
      <c r="U999" s="12">
        <v>2339.2316166152641</v>
      </c>
      <c r="V999" s="12">
        <v>2722.2466855938769</v>
      </c>
      <c r="W999" s="12">
        <v>2676.96</v>
      </c>
      <c r="X999" s="12">
        <v>2676.96</v>
      </c>
      <c r="Y999" s="12">
        <f t="shared" si="18"/>
        <v>30112.307917800204</v>
      </c>
    </row>
    <row r="1000" spans="1:25" ht="15">
      <c r="A1000">
        <v>2013</v>
      </c>
      <c r="B1000" t="s">
        <v>573</v>
      </c>
      <c r="C1000" t="s">
        <v>7</v>
      </c>
      <c r="D1000" t="s">
        <v>7</v>
      </c>
      <c r="E1000" t="s">
        <v>149</v>
      </c>
      <c r="F1000" t="s">
        <v>239</v>
      </c>
      <c r="G1000" t="s">
        <v>439</v>
      </c>
      <c r="H1000" t="s">
        <v>149</v>
      </c>
      <c r="I1000" t="s">
        <v>149</v>
      </c>
      <c r="J1000" t="s">
        <v>150</v>
      </c>
      <c r="K1000"/>
      <c r="L1000"/>
      <c r="M1000" s="12">
        <v>1866.8027170039552</v>
      </c>
      <c r="N1000" s="12">
        <v>1450.2169920589656</v>
      </c>
      <c r="O1000" s="12">
        <v>2659.5473944236087</v>
      </c>
      <c r="P1000" s="12">
        <v>2872.52385768058</v>
      </c>
      <c r="Q1000" s="12">
        <v>2455.7582498416054</v>
      </c>
      <c r="R1000" s="12">
        <v>2393.911253830825</v>
      </c>
      <c r="S1000" s="12">
        <v>2116.3457645762874</v>
      </c>
      <c r="T1000" s="12">
        <v>2393.1414531409059</v>
      </c>
      <c r="U1000" s="12">
        <v>2202.7729436240206</v>
      </c>
      <c r="V1000" s="12">
        <v>2563.444894598741</v>
      </c>
      <c r="W1000" s="12">
        <v>2520.8000000000002</v>
      </c>
      <c r="X1000" s="12">
        <v>2520.8000000000002</v>
      </c>
      <c r="Y1000" s="12">
        <f t="shared" si="18"/>
        <v>28016.065520779495</v>
      </c>
    </row>
    <row r="1001" spans="1:25" ht="15">
      <c r="A1001">
        <v>2013</v>
      </c>
      <c r="B1001" t="s">
        <v>573</v>
      </c>
      <c r="C1001" t="s">
        <v>7</v>
      </c>
      <c r="D1001" t="s">
        <v>7</v>
      </c>
      <c r="E1001" t="s">
        <v>149</v>
      </c>
      <c r="F1001" t="s">
        <v>258</v>
      </c>
      <c r="G1001" t="s">
        <v>439</v>
      </c>
      <c r="H1001" t="s">
        <v>149</v>
      </c>
      <c r="I1001" t="s">
        <v>149</v>
      </c>
      <c r="J1001" t="s">
        <v>150</v>
      </c>
      <c r="K1001"/>
      <c r="L1001"/>
      <c r="M1001" s="12">
        <v>1899.8464877246458</v>
      </c>
      <c r="N1001" s="12">
        <v>1476.6892069933751</v>
      </c>
      <c r="O1001" s="12">
        <v>2707.4825700802435</v>
      </c>
      <c r="P1001" s="12">
        <v>2923.3696266942688</v>
      </c>
      <c r="Q1001" s="12">
        <v>2499.2269633880724</v>
      </c>
      <c r="R1001" s="12">
        <v>2436.2852304041076</v>
      </c>
      <c r="S1001" s="12">
        <v>2252.9115634126733</v>
      </c>
      <c r="T1001" s="12">
        <v>2435.5018036800789</v>
      </c>
      <c r="U1001" s="12">
        <v>2241.7636325896283</v>
      </c>
      <c r="V1001" s="12">
        <v>2608.8197403607987</v>
      </c>
      <c r="W1001" s="12">
        <v>2565.42</v>
      </c>
      <c r="X1001" s="12">
        <v>2565.42</v>
      </c>
      <c r="Y1001" s="12">
        <f t="shared" si="18"/>
        <v>28612.736825327891</v>
      </c>
    </row>
    <row r="1002" spans="1:25" ht="15">
      <c r="A1002">
        <v>2013</v>
      </c>
      <c r="B1002" t="s">
        <v>573</v>
      </c>
      <c r="C1002" t="s">
        <v>7</v>
      </c>
      <c r="D1002" t="s">
        <v>7</v>
      </c>
      <c r="E1002" t="s">
        <v>149</v>
      </c>
      <c r="F1002" t="s">
        <v>94</v>
      </c>
      <c r="G1002" t="s">
        <v>439</v>
      </c>
      <c r="H1002" t="s">
        <v>149</v>
      </c>
      <c r="I1002" t="s">
        <v>149</v>
      </c>
      <c r="J1002" t="s">
        <v>150</v>
      </c>
      <c r="K1002"/>
      <c r="L1002"/>
      <c r="M1002" s="12">
        <v>1239.0303180812905</v>
      </c>
      <c r="N1002" s="12">
        <v>963.35843043916987</v>
      </c>
      <c r="O1002" s="12">
        <v>1765.7495022262456</v>
      </c>
      <c r="P1002" s="12">
        <v>1906.5454087136536</v>
      </c>
      <c r="Q1002" s="12">
        <v>1629.9306282965686</v>
      </c>
      <c r="R1002" s="12">
        <v>1588.8816720026787</v>
      </c>
      <c r="S1002" s="12">
        <v>645.59148754269029</v>
      </c>
      <c r="T1002" s="12">
        <v>1588.3707415304859</v>
      </c>
      <c r="U1002" s="12">
        <v>1462.0197603845402</v>
      </c>
      <c r="V1002" s="12">
        <v>1701.404178496173</v>
      </c>
      <c r="W1002" s="12">
        <v>1673.1</v>
      </c>
      <c r="X1002" s="12">
        <v>1673.1</v>
      </c>
      <c r="Y1002" s="12">
        <f t="shared" si="18"/>
        <v>17837.082127713496</v>
      </c>
    </row>
    <row r="1003" spans="1:25" ht="15">
      <c r="A1003">
        <v>2013</v>
      </c>
      <c r="B1003" t="s">
        <v>573</v>
      </c>
      <c r="C1003" t="s">
        <v>7</v>
      </c>
      <c r="D1003" t="s">
        <v>7</v>
      </c>
      <c r="E1003" t="s">
        <v>149</v>
      </c>
      <c r="F1003" t="s">
        <v>260</v>
      </c>
      <c r="G1003" t="s">
        <v>439</v>
      </c>
      <c r="H1003" t="s">
        <v>149</v>
      </c>
      <c r="I1003" t="s">
        <v>149</v>
      </c>
      <c r="J1003" t="s">
        <v>150</v>
      </c>
      <c r="K1003"/>
      <c r="L1003"/>
      <c r="M1003" s="12">
        <v>1982.4485089300649</v>
      </c>
      <c r="N1003" s="12">
        <v>1539.9923296626157</v>
      </c>
      <c r="O1003" s="12">
        <v>2825.1992035619933</v>
      </c>
      <c r="P1003" s="12">
        <v>3050.4726539418461</v>
      </c>
      <c r="Q1003" s="12">
        <v>2607.8890052745096</v>
      </c>
      <c r="R1003" s="12">
        <v>2542.2106752042864</v>
      </c>
      <c r="S1003" s="12">
        <v>2902.7484660061473</v>
      </c>
      <c r="T1003" s="12">
        <v>2541.3931864487777</v>
      </c>
      <c r="U1003" s="12">
        <v>2339.2316166152641</v>
      </c>
      <c r="V1003" s="12">
        <v>2722.2466855938769</v>
      </c>
      <c r="W1003" s="12">
        <v>2676.96</v>
      </c>
      <c r="X1003" s="12">
        <v>2676.96</v>
      </c>
      <c r="Y1003" s="12">
        <f t="shared" si="18"/>
        <v>30407.752331239382</v>
      </c>
    </row>
    <row r="1004" spans="1:25" ht="15">
      <c r="A1004">
        <v>2013</v>
      </c>
      <c r="B1004" t="s">
        <v>573</v>
      </c>
      <c r="C1004" t="s">
        <v>7</v>
      </c>
      <c r="D1004" t="s">
        <v>7</v>
      </c>
      <c r="E1004" t="s">
        <v>149</v>
      </c>
      <c r="F1004" t="s">
        <v>8</v>
      </c>
      <c r="G1004" t="s">
        <v>439</v>
      </c>
      <c r="H1004" t="s">
        <v>149</v>
      </c>
      <c r="I1004" t="s">
        <v>149</v>
      </c>
      <c r="J1004" t="s">
        <v>150</v>
      </c>
      <c r="K1004"/>
      <c r="L1004"/>
      <c r="M1004" s="12"/>
      <c r="N1004" s="12">
        <v>291.19436427850655</v>
      </c>
      <c r="O1004" s="12">
        <v>533.6508492024991</v>
      </c>
      <c r="P1004" s="12"/>
      <c r="Q1004" s="12">
        <v>492.60320494779745</v>
      </c>
      <c r="R1004" s="12">
        <v>480.19724908741534</v>
      </c>
      <c r="S1004" s="12">
        <v>611.57727304990112</v>
      </c>
      <c r="T1004" s="12">
        <v>480.04283393394911</v>
      </c>
      <c r="U1004" s="12">
        <v>441.85660859389316</v>
      </c>
      <c r="V1004" s="12">
        <v>514.20418555770118</v>
      </c>
      <c r="W1004" s="12">
        <v>505.65</v>
      </c>
      <c r="X1004" s="12">
        <v>505.65</v>
      </c>
      <c r="Y1004" s="12">
        <f t="shared" si="18"/>
        <v>4856.6265686516626</v>
      </c>
    </row>
    <row r="1005" spans="1:25" ht="15">
      <c r="A1005">
        <v>2013</v>
      </c>
      <c r="B1005" t="s">
        <v>573</v>
      </c>
      <c r="C1005" t="s">
        <v>7</v>
      </c>
      <c r="D1005" t="s">
        <v>7</v>
      </c>
      <c r="E1005" t="s">
        <v>149</v>
      </c>
      <c r="F1005" t="s">
        <v>166</v>
      </c>
      <c r="G1005" t="s">
        <v>439</v>
      </c>
      <c r="H1005" t="s">
        <v>149</v>
      </c>
      <c r="I1005" t="s">
        <v>149</v>
      </c>
      <c r="J1005" t="s">
        <v>150</v>
      </c>
      <c r="K1005"/>
      <c r="L1005"/>
      <c r="M1005" s="12">
        <v>1866.8027170039552</v>
      </c>
      <c r="N1005" s="12">
        <v>1450.2169920589656</v>
      </c>
      <c r="O1005" s="12">
        <v>2660.3916951837432</v>
      </c>
      <c r="P1005" s="12">
        <v>2872.52385768058</v>
      </c>
      <c r="Q1005" s="12">
        <v>2455.7582498416054</v>
      </c>
      <c r="R1005" s="12">
        <v>2393.911253830825</v>
      </c>
      <c r="S1005" s="12">
        <v>3724.5988986991897</v>
      </c>
      <c r="T1005" s="12">
        <v>2393.1414531409059</v>
      </c>
      <c r="U1005" s="12">
        <v>2202.7729436240206</v>
      </c>
      <c r="V1005" s="12">
        <v>2563.444894598741</v>
      </c>
      <c r="W1005" s="12">
        <v>2520.8000000000002</v>
      </c>
      <c r="X1005" s="12">
        <v>2520.8000000000002</v>
      </c>
      <c r="Y1005" s="12">
        <f t="shared" si="18"/>
        <v>29625.16295566253</v>
      </c>
    </row>
    <row r="1006" spans="1:25" ht="15">
      <c r="A1006">
        <v>2013</v>
      </c>
      <c r="B1006" t="s">
        <v>573</v>
      </c>
      <c r="C1006" t="s">
        <v>7</v>
      </c>
      <c r="D1006" t="s">
        <v>7</v>
      </c>
      <c r="E1006" t="s">
        <v>149</v>
      </c>
      <c r="F1006" t="s">
        <v>208</v>
      </c>
      <c r="G1006" t="s">
        <v>245</v>
      </c>
      <c r="H1006" t="s">
        <v>149</v>
      </c>
      <c r="I1006" t="s">
        <v>149</v>
      </c>
      <c r="J1006" t="s">
        <v>150</v>
      </c>
      <c r="K1006"/>
      <c r="L1006"/>
      <c r="M1006" s="12"/>
      <c r="N1006" s="12"/>
      <c r="O1006" s="12"/>
      <c r="P1006" s="12"/>
      <c r="Q1006" s="12"/>
      <c r="R1006" s="12">
        <v>600.24418720101198</v>
      </c>
      <c r="S1006" s="12">
        <v>2247.578711379851</v>
      </c>
      <c r="T1006" s="12"/>
      <c r="U1006" s="12"/>
      <c r="V1006" s="12"/>
      <c r="W1006" s="12"/>
      <c r="X1006" s="12"/>
      <c r="Y1006" s="12">
        <f t="shared" si="18"/>
        <v>2847.8228985808628</v>
      </c>
    </row>
    <row r="1007" spans="1:25" ht="15">
      <c r="A1007">
        <v>2013</v>
      </c>
      <c r="B1007" t="s">
        <v>573</v>
      </c>
      <c r="C1007" t="s">
        <v>7</v>
      </c>
      <c r="D1007" t="s">
        <v>7</v>
      </c>
      <c r="E1007" t="s">
        <v>149</v>
      </c>
      <c r="F1007" t="s">
        <v>208</v>
      </c>
      <c r="G1007" t="s">
        <v>439</v>
      </c>
      <c r="H1007" t="s">
        <v>149</v>
      </c>
      <c r="I1007" t="s">
        <v>149</v>
      </c>
      <c r="J1007" t="s">
        <v>150</v>
      </c>
      <c r="K1007"/>
      <c r="L1007"/>
      <c r="M1007" s="12">
        <v>1762.1764523822801</v>
      </c>
      <c r="N1007" s="12">
        <v>1369.6493813890229</v>
      </c>
      <c r="O1007" s="12">
        <v>4277.0376831702397</v>
      </c>
      <c r="P1007" s="12"/>
      <c r="Q1007" s="12"/>
      <c r="R1007" s="12"/>
      <c r="S1007" s="12"/>
      <c r="T1007" s="12">
        <v>600.05116902262796</v>
      </c>
      <c r="U1007" s="12"/>
      <c r="V1007" s="12"/>
      <c r="W1007" s="12"/>
      <c r="X1007" s="12"/>
      <c r="Y1007" s="12">
        <f t="shared" si="18"/>
        <v>8008.9146859641705</v>
      </c>
    </row>
    <row r="1008" spans="1:25" ht="15">
      <c r="A1008">
        <v>2013</v>
      </c>
      <c r="B1008" t="s">
        <v>573</v>
      </c>
      <c r="C1008" t="s">
        <v>7</v>
      </c>
      <c r="D1008" t="s">
        <v>7</v>
      </c>
      <c r="E1008" t="s">
        <v>149</v>
      </c>
      <c r="F1008" t="s">
        <v>247</v>
      </c>
      <c r="G1008" t="s">
        <v>439</v>
      </c>
      <c r="H1008" t="s">
        <v>149</v>
      </c>
      <c r="I1008" t="s">
        <v>149</v>
      </c>
      <c r="J1008" t="s">
        <v>150</v>
      </c>
      <c r="K1008"/>
      <c r="L1008"/>
      <c r="M1008" s="12">
        <v>1101.360282738925</v>
      </c>
      <c r="N1008" s="12">
        <v>856.31860483481762</v>
      </c>
      <c r="O1008" s="12">
        <v>1569.5551130899962</v>
      </c>
      <c r="P1008" s="12">
        <v>1694.7070299676921</v>
      </c>
      <c r="Q1008" s="12">
        <v>1448.8272251525054</v>
      </c>
      <c r="R1008" s="12">
        <v>1412.3392640023812</v>
      </c>
      <c r="S1008" s="12">
        <v>1528.1797713269095</v>
      </c>
      <c r="T1008" s="12">
        <v>1411.8851035826542</v>
      </c>
      <c r="U1008" s="12">
        <v>1299.5731203418134</v>
      </c>
      <c r="V1008" s="12">
        <v>3024.5151561074163</v>
      </c>
      <c r="W1008" s="12">
        <v>1487.2</v>
      </c>
      <c r="X1008" s="12">
        <v>1487.2</v>
      </c>
      <c r="Y1008" s="12">
        <f t="shared" si="18"/>
        <v>18321.66067114511</v>
      </c>
    </row>
    <row r="1009" spans="1:25" ht="15">
      <c r="A1009">
        <v>2013</v>
      </c>
      <c r="B1009" t="s">
        <v>573</v>
      </c>
      <c r="C1009" t="s">
        <v>7</v>
      </c>
      <c r="D1009" t="s">
        <v>7</v>
      </c>
      <c r="E1009" t="s">
        <v>18</v>
      </c>
      <c r="F1009" t="s">
        <v>236</v>
      </c>
      <c r="G1009" t="s">
        <v>439</v>
      </c>
      <c r="H1009" t="s">
        <v>18</v>
      </c>
      <c r="I1009" t="s">
        <v>18</v>
      </c>
      <c r="J1009" t="s">
        <v>96</v>
      </c>
      <c r="K1009"/>
      <c r="L1009"/>
      <c r="M1009" s="12"/>
      <c r="N1009" s="12"/>
      <c r="O1009" s="12"/>
      <c r="P1009" s="12"/>
      <c r="Q1009" s="12">
        <v>240</v>
      </c>
      <c r="R1009" s="12"/>
      <c r="S1009" s="12"/>
      <c r="T1009" s="12"/>
      <c r="U1009" s="12"/>
      <c r="V1009" s="12"/>
      <c r="W1009" s="12"/>
      <c r="X1009" s="12"/>
      <c r="Y1009" s="12">
        <f t="shared" si="18"/>
        <v>240</v>
      </c>
    </row>
    <row r="1010" spans="1:25" ht="15">
      <c r="A1010">
        <v>2013</v>
      </c>
      <c r="B1010" t="s">
        <v>573</v>
      </c>
      <c r="C1010" t="s">
        <v>7</v>
      </c>
      <c r="D1010" t="s">
        <v>7</v>
      </c>
      <c r="E1010" t="s">
        <v>18</v>
      </c>
      <c r="F1010" t="s">
        <v>236</v>
      </c>
      <c r="G1010" t="s">
        <v>439</v>
      </c>
      <c r="H1010" t="s">
        <v>18</v>
      </c>
      <c r="I1010" t="s">
        <v>18</v>
      </c>
      <c r="J1010" t="s">
        <v>429</v>
      </c>
      <c r="K1010"/>
      <c r="L1010"/>
      <c r="M1010" s="12">
        <v>1080</v>
      </c>
      <c r="N1010" s="12">
        <v>276</v>
      </c>
      <c r="O1010" s="12"/>
      <c r="P1010" s="12"/>
      <c r="Q1010" s="12">
        <v>193.85</v>
      </c>
      <c r="R1010" s="12">
        <v>1381.98</v>
      </c>
      <c r="S1010" s="12"/>
      <c r="T1010" s="12"/>
      <c r="U1010" s="12"/>
      <c r="V1010" s="12"/>
      <c r="W1010" s="12">
        <v>1200</v>
      </c>
      <c r="X1010" s="12">
        <v>1200</v>
      </c>
      <c r="Y1010" s="12">
        <f t="shared" si="18"/>
        <v>5331.83</v>
      </c>
    </row>
    <row r="1011" spans="1:25" ht="15">
      <c r="A1011">
        <v>2013</v>
      </c>
      <c r="B1011" t="s">
        <v>573</v>
      </c>
      <c r="C1011" t="s">
        <v>7</v>
      </c>
      <c r="D1011" t="s">
        <v>7</v>
      </c>
      <c r="E1011" t="s">
        <v>18</v>
      </c>
      <c r="F1011" t="s">
        <v>236</v>
      </c>
      <c r="G1011" t="s">
        <v>439</v>
      </c>
      <c r="H1011" t="s">
        <v>18</v>
      </c>
      <c r="I1011" t="s">
        <v>18</v>
      </c>
      <c r="J1011" t="s">
        <v>44</v>
      </c>
      <c r="K1011"/>
      <c r="L1011"/>
      <c r="M1011" s="12">
        <v>500</v>
      </c>
      <c r="N1011" s="12">
        <v>600</v>
      </c>
      <c r="O1011" s="12">
        <v>600</v>
      </c>
      <c r="P1011" s="12">
        <v>200</v>
      </c>
      <c r="Q1011" s="12">
        <v>465</v>
      </c>
      <c r="R1011" s="12">
        <v>406</v>
      </c>
      <c r="S1011" s="12">
        <v>347</v>
      </c>
      <c r="T1011" s="12">
        <v>240</v>
      </c>
      <c r="U1011" s="12">
        <v>400</v>
      </c>
      <c r="V1011" s="12">
        <v>400</v>
      </c>
      <c r="W1011" s="12">
        <v>450</v>
      </c>
      <c r="X1011" s="12">
        <v>450</v>
      </c>
      <c r="Y1011" s="12">
        <f t="shared" si="18"/>
        <v>5058</v>
      </c>
    </row>
    <row r="1012" spans="1:25" ht="15">
      <c r="A1012">
        <v>2013</v>
      </c>
      <c r="B1012" t="s">
        <v>573</v>
      </c>
      <c r="C1012" t="s">
        <v>7</v>
      </c>
      <c r="D1012" t="s">
        <v>7</v>
      </c>
      <c r="E1012" t="s">
        <v>18</v>
      </c>
      <c r="F1012" t="s">
        <v>220</v>
      </c>
      <c r="G1012" t="s">
        <v>439</v>
      </c>
      <c r="H1012" t="s">
        <v>18</v>
      </c>
      <c r="I1012" t="s">
        <v>18</v>
      </c>
      <c r="J1012" t="s">
        <v>43</v>
      </c>
      <c r="K1012"/>
      <c r="L1012"/>
      <c r="M1012" s="12">
        <v>7432.02</v>
      </c>
      <c r="N1012" s="12">
        <v>9618.4599999999991</v>
      </c>
      <c r="O1012" s="12">
        <v>6687.29</v>
      </c>
      <c r="P1012" s="12">
        <v>7823.7</v>
      </c>
      <c r="Q1012" s="12">
        <v>6589.32</v>
      </c>
      <c r="R1012" s="12">
        <v>7326.97</v>
      </c>
      <c r="S1012" s="12">
        <v>4944.47</v>
      </c>
      <c r="T1012" s="12">
        <v>8301.44</v>
      </c>
      <c r="U1012" s="12">
        <v>6725.15</v>
      </c>
      <c r="V1012" s="12">
        <v>5398.68</v>
      </c>
      <c r="W1012" s="12">
        <v>7000</v>
      </c>
      <c r="X1012" s="12">
        <v>7000</v>
      </c>
      <c r="Y1012" s="12">
        <f t="shared" si="18"/>
        <v>84847.5</v>
      </c>
    </row>
    <row r="1013" spans="1:25" ht="15">
      <c r="A1013">
        <v>2013</v>
      </c>
      <c r="B1013" t="s">
        <v>573</v>
      </c>
      <c r="C1013" t="s">
        <v>7</v>
      </c>
      <c r="D1013" t="s">
        <v>7</v>
      </c>
      <c r="E1013" t="s">
        <v>18</v>
      </c>
      <c r="F1013" t="s">
        <v>220</v>
      </c>
      <c r="G1013" t="s">
        <v>439</v>
      </c>
      <c r="H1013" t="s">
        <v>18</v>
      </c>
      <c r="I1013" t="s">
        <v>18</v>
      </c>
      <c r="J1013" t="s">
        <v>44</v>
      </c>
      <c r="K1013"/>
      <c r="L1013"/>
      <c r="M1013" s="12"/>
      <c r="N1013" s="12"/>
      <c r="O1013" s="12"/>
      <c r="P1013" s="12">
        <v>250</v>
      </c>
      <c r="Q1013" s="12"/>
      <c r="R1013" s="12"/>
      <c r="S1013" s="12"/>
      <c r="T1013" s="12"/>
      <c r="U1013" s="12"/>
      <c r="V1013" s="12"/>
      <c r="W1013" s="12"/>
      <c r="X1013" s="12"/>
      <c r="Y1013" s="12">
        <f t="shared" si="18"/>
        <v>250</v>
      </c>
    </row>
    <row r="1014" spans="1:25" ht="15">
      <c r="A1014">
        <v>2013</v>
      </c>
      <c r="B1014" t="s">
        <v>573</v>
      </c>
      <c r="C1014" t="s">
        <v>7</v>
      </c>
      <c r="D1014" t="s">
        <v>7</v>
      </c>
      <c r="E1014" t="s">
        <v>18</v>
      </c>
      <c r="F1014" t="s">
        <v>234</v>
      </c>
      <c r="G1014" t="s">
        <v>439</v>
      </c>
      <c r="H1014" t="s">
        <v>18</v>
      </c>
      <c r="I1014" t="s">
        <v>18</v>
      </c>
      <c r="J1014" t="s">
        <v>34</v>
      </c>
      <c r="K1014"/>
      <c r="L1014"/>
      <c r="M1014" s="12">
        <v>1850</v>
      </c>
      <c r="N1014" s="12">
        <v>1850</v>
      </c>
      <c r="O1014" s="12">
        <v>1850</v>
      </c>
      <c r="P1014" s="12">
        <v>1850</v>
      </c>
      <c r="Q1014" s="12">
        <v>1850</v>
      </c>
      <c r="R1014" s="12">
        <v>1850</v>
      </c>
      <c r="S1014" s="12">
        <v>1850</v>
      </c>
      <c r="T1014" s="12">
        <v>1850</v>
      </c>
      <c r="U1014" s="12">
        <v>1850</v>
      </c>
      <c r="V1014" s="12">
        <v>1850</v>
      </c>
      <c r="W1014" s="12">
        <v>1850</v>
      </c>
      <c r="X1014" s="12">
        <v>1850</v>
      </c>
      <c r="Y1014" s="12">
        <f t="shared" si="18"/>
        <v>22200</v>
      </c>
    </row>
    <row r="1015" spans="1:25" ht="15">
      <c r="A1015">
        <v>2013</v>
      </c>
      <c r="B1015" t="s">
        <v>573</v>
      </c>
      <c r="C1015" t="s">
        <v>7</v>
      </c>
      <c r="D1015" t="s">
        <v>7</v>
      </c>
      <c r="E1015" t="s">
        <v>18</v>
      </c>
      <c r="F1015" t="s">
        <v>234</v>
      </c>
      <c r="G1015" t="s">
        <v>439</v>
      </c>
      <c r="H1015" t="s">
        <v>18</v>
      </c>
      <c r="I1015" t="s">
        <v>18</v>
      </c>
      <c r="J1015" t="s">
        <v>43</v>
      </c>
      <c r="K1015"/>
      <c r="L1015"/>
      <c r="M1015" s="12">
        <v>6499.9</v>
      </c>
      <c r="N1015" s="12">
        <v>6199.65</v>
      </c>
      <c r="O1015" s="12">
        <v>6570.5</v>
      </c>
      <c r="P1015" s="12">
        <v>7186.12</v>
      </c>
      <c r="Q1015" s="12">
        <v>3254.01</v>
      </c>
      <c r="R1015" s="12">
        <v>2735.44</v>
      </c>
      <c r="S1015" s="12">
        <v>4095.8</v>
      </c>
      <c r="T1015" s="12">
        <v>4009.04</v>
      </c>
      <c r="U1015" s="12">
        <v>3746.45</v>
      </c>
      <c r="V1015" s="12">
        <v>4717.53</v>
      </c>
      <c r="W1015" s="12">
        <v>4000</v>
      </c>
      <c r="X1015" s="12">
        <v>4000</v>
      </c>
      <c r="Y1015" s="12">
        <f t="shared" si="18"/>
        <v>57014.439999999995</v>
      </c>
    </row>
    <row r="1016" spans="1:25" ht="15">
      <c r="A1016">
        <v>2013</v>
      </c>
      <c r="B1016" t="s">
        <v>573</v>
      </c>
      <c r="C1016" t="s">
        <v>7</v>
      </c>
      <c r="D1016" t="s">
        <v>7</v>
      </c>
      <c r="E1016" t="s">
        <v>18</v>
      </c>
      <c r="F1016" t="s">
        <v>234</v>
      </c>
      <c r="G1016" t="s">
        <v>439</v>
      </c>
      <c r="H1016" t="s">
        <v>18</v>
      </c>
      <c r="I1016" t="s">
        <v>18</v>
      </c>
      <c r="J1016" t="s">
        <v>19</v>
      </c>
      <c r="K1016"/>
      <c r="L1016"/>
      <c r="M1016" s="12"/>
      <c r="N1016" s="12"/>
      <c r="O1016" s="12">
        <v>1525</v>
      </c>
      <c r="P1016" s="12"/>
      <c r="Q1016" s="12"/>
      <c r="R1016" s="12"/>
      <c r="S1016" s="12"/>
      <c r="T1016" s="12"/>
      <c r="U1016" s="12"/>
      <c r="V1016" s="12"/>
      <c r="W1016" s="12"/>
      <c r="X1016" s="12"/>
      <c r="Y1016" s="12">
        <f t="shared" si="18"/>
        <v>1525</v>
      </c>
    </row>
    <row r="1017" spans="1:25" ht="15">
      <c r="A1017">
        <v>2013</v>
      </c>
      <c r="B1017" t="s">
        <v>573</v>
      </c>
      <c r="C1017" t="s">
        <v>7</v>
      </c>
      <c r="D1017" t="s">
        <v>7</v>
      </c>
      <c r="E1017" t="s">
        <v>18</v>
      </c>
      <c r="F1017" t="s">
        <v>234</v>
      </c>
      <c r="G1017" t="s">
        <v>439</v>
      </c>
      <c r="H1017" t="s">
        <v>18</v>
      </c>
      <c r="I1017" t="s">
        <v>18</v>
      </c>
      <c r="J1017" t="s">
        <v>44</v>
      </c>
      <c r="K1017"/>
      <c r="L1017"/>
      <c r="M1017" s="12">
        <v>6409</v>
      </c>
      <c r="N1017" s="12">
        <v>6684</v>
      </c>
      <c r="O1017" s="12">
        <v>7009</v>
      </c>
      <c r="P1017" s="12">
        <v>7113</v>
      </c>
      <c r="Q1017" s="12">
        <v>7112</v>
      </c>
      <c r="R1017" s="12">
        <v>8356</v>
      </c>
      <c r="S1017" s="12"/>
      <c r="T1017" s="12">
        <v>7584</v>
      </c>
      <c r="U1017" s="12">
        <v>8097</v>
      </c>
      <c r="V1017" s="12">
        <v>7923</v>
      </c>
      <c r="W1017" s="12"/>
      <c r="X1017" s="12"/>
      <c r="Y1017" s="12">
        <f t="shared" si="18"/>
        <v>66287</v>
      </c>
    </row>
    <row r="1018" spans="1:25" ht="15">
      <c r="A1018">
        <v>2013</v>
      </c>
      <c r="B1018" t="s">
        <v>573</v>
      </c>
      <c r="C1018" t="s">
        <v>7</v>
      </c>
      <c r="D1018" t="s">
        <v>7</v>
      </c>
      <c r="E1018" t="s">
        <v>18</v>
      </c>
      <c r="F1018" t="s">
        <v>239</v>
      </c>
      <c r="G1018" t="s">
        <v>439</v>
      </c>
      <c r="H1018" t="s">
        <v>18</v>
      </c>
      <c r="I1018" t="s">
        <v>18</v>
      </c>
      <c r="J1018" t="s">
        <v>43</v>
      </c>
      <c r="K1018"/>
      <c r="L1018"/>
      <c r="M1018" s="12"/>
      <c r="N1018" s="12"/>
      <c r="O1018" s="12">
        <v>751.67</v>
      </c>
      <c r="P1018" s="12"/>
      <c r="Q1018" s="12"/>
      <c r="R1018" s="12"/>
      <c r="S1018" s="12"/>
      <c r="T1018" s="12">
        <v>25.68</v>
      </c>
      <c r="U1018" s="12"/>
      <c r="V1018" s="12"/>
      <c r="W1018" s="12">
        <v>200</v>
      </c>
      <c r="X1018" s="12">
        <v>200</v>
      </c>
      <c r="Y1018" s="12">
        <f t="shared" si="18"/>
        <v>1177.3499999999999</v>
      </c>
    </row>
    <row r="1019" spans="1:25" ht="15">
      <c r="A1019">
        <v>2013</v>
      </c>
      <c r="B1019" t="s">
        <v>573</v>
      </c>
      <c r="C1019" t="s">
        <v>7</v>
      </c>
      <c r="D1019" t="s">
        <v>7</v>
      </c>
      <c r="E1019" t="s">
        <v>18</v>
      </c>
      <c r="F1019" t="s">
        <v>258</v>
      </c>
      <c r="G1019" t="s">
        <v>439</v>
      </c>
      <c r="H1019" t="s">
        <v>18</v>
      </c>
      <c r="I1019" t="s">
        <v>18</v>
      </c>
      <c r="J1019" t="s">
        <v>43</v>
      </c>
      <c r="K1019"/>
      <c r="L1019"/>
      <c r="M1019" s="12"/>
      <c r="N1019" s="12"/>
      <c r="O1019" s="12"/>
      <c r="P1019" s="12">
        <v>220</v>
      </c>
      <c r="Q1019" s="12"/>
      <c r="R1019" s="12"/>
      <c r="S1019" s="12"/>
      <c r="T1019" s="12"/>
      <c r="U1019" s="12"/>
      <c r="V1019" s="12"/>
      <c r="W1019" s="12"/>
      <c r="X1019" s="12"/>
      <c r="Y1019" s="12">
        <f t="shared" si="18"/>
        <v>220</v>
      </c>
    </row>
    <row r="1020" spans="1:25" ht="15">
      <c r="A1020">
        <v>2013</v>
      </c>
      <c r="B1020" t="s">
        <v>573</v>
      </c>
      <c r="C1020" t="s">
        <v>7</v>
      </c>
      <c r="D1020" t="s">
        <v>7</v>
      </c>
      <c r="E1020" t="s">
        <v>18</v>
      </c>
      <c r="F1020" t="s">
        <v>258</v>
      </c>
      <c r="G1020" t="s">
        <v>439</v>
      </c>
      <c r="H1020" t="s">
        <v>18</v>
      </c>
      <c r="I1020" t="s">
        <v>18</v>
      </c>
      <c r="J1020" t="s">
        <v>295</v>
      </c>
      <c r="K1020"/>
      <c r="L1020"/>
      <c r="M1020" s="12">
        <v>141</v>
      </c>
      <c r="N1020" s="12">
        <v>2568.48</v>
      </c>
      <c r="O1020" s="12">
        <v>8538.39</v>
      </c>
      <c r="P1020" s="12">
        <v>147.6</v>
      </c>
      <c r="Q1020" s="12">
        <v>366.14</v>
      </c>
      <c r="R1020" s="12">
        <v>189295.86</v>
      </c>
      <c r="S1020" s="12">
        <v>148.56</v>
      </c>
      <c r="T1020" s="12">
        <v>1222.72</v>
      </c>
      <c r="U1020" s="12">
        <v>149.16</v>
      </c>
      <c r="V1020" s="12">
        <v>18561.41</v>
      </c>
      <c r="W1020" s="12">
        <v>150</v>
      </c>
      <c r="X1020" s="12">
        <v>90000</v>
      </c>
      <c r="Y1020" s="12">
        <f t="shared" si="18"/>
        <v>311289.31999999995</v>
      </c>
    </row>
    <row r="1021" spans="1:25" ht="15">
      <c r="A1021">
        <v>2013</v>
      </c>
      <c r="B1021" t="s">
        <v>573</v>
      </c>
      <c r="C1021" t="s">
        <v>7</v>
      </c>
      <c r="D1021" t="s">
        <v>7</v>
      </c>
      <c r="E1021" t="s">
        <v>18</v>
      </c>
      <c r="F1021" t="s">
        <v>258</v>
      </c>
      <c r="G1021" t="s">
        <v>439</v>
      </c>
      <c r="H1021" t="s">
        <v>18</v>
      </c>
      <c r="I1021" t="s">
        <v>18</v>
      </c>
      <c r="J1021" t="s">
        <v>96</v>
      </c>
      <c r="K1021"/>
      <c r="L1021"/>
      <c r="M1021" s="12"/>
      <c r="N1021" s="12"/>
      <c r="O1021" s="12"/>
      <c r="P1021" s="12"/>
      <c r="Q1021" s="12"/>
      <c r="R1021" s="12"/>
      <c r="S1021" s="12"/>
      <c r="T1021" s="12"/>
      <c r="U1021" s="12">
        <v>736.08</v>
      </c>
      <c r="V1021" s="12"/>
      <c r="W1021" s="12"/>
      <c r="X1021" s="12"/>
      <c r="Y1021" s="12">
        <f t="shared" si="18"/>
        <v>736.08</v>
      </c>
    </row>
    <row r="1022" spans="1:25" ht="15">
      <c r="A1022">
        <v>2013</v>
      </c>
      <c r="B1022" t="s">
        <v>573</v>
      </c>
      <c r="C1022" t="s">
        <v>7</v>
      </c>
      <c r="D1022" t="s">
        <v>7</v>
      </c>
      <c r="E1022" t="s">
        <v>18</v>
      </c>
      <c r="F1022" t="s">
        <v>258</v>
      </c>
      <c r="G1022" t="s">
        <v>439</v>
      </c>
      <c r="H1022" t="s">
        <v>18</v>
      </c>
      <c r="I1022" t="s">
        <v>18</v>
      </c>
      <c r="J1022" t="s">
        <v>19</v>
      </c>
      <c r="K1022"/>
      <c r="L1022"/>
      <c r="M1022" s="12">
        <v>1550</v>
      </c>
      <c r="N1022" s="12">
        <v>1334</v>
      </c>
      <c r="O1022" s="12"/>
      <c r="P1022" s="12">
        <v>1723.5</v>
      </c>
      <c r="Q1022" s="12">
        <v>1527</v>
      </c>
      <c r="R1022" s="12">
        <v>1440</v>
      </c>
      <c r="S1022" s="12"/>
      <c r="T1022" s="12">
        <v>906</v>
      </c>
      <c r="U1022" s="12"/>
      <c r="V1022" s="12"/>
      <c r="W1022" s="12"/>
      <c r="X1022" s="12"/>
      <c r="Y1022" s="12">
        <f t="shared" si="18"/>
        <v>8480.5</v>
      </c>
    </row>
    <row r="1023" spans="1:25" ht="15">
      <c r="A1023">
        <v>2013</v>
      </c>
      <c r="B1023" t="s">
        <v>573</v>
      </c>
      <c r="C1023" t="s">
        <v>7</v>
      </c>
      <c r="D1023" t="s">
        <v>7</v>
      </c>
      <c r="E1023" t="s">
        <v>18</v>
      </c>
      <c r="F1023" t="s">
        <v>258</v>
      </c>
      <c r="G1023" t="s">
        <v>439</v>
      </c>
      <c r="H1023" t="s">
        <v>18</v>
      </c>
      <c r="I1023" t="s">
        <v>18</v>
      </c>
      <c r="J1023" t="s">
        <v>296</v>
      </c>
      <c r="K1023"/>
      <c r="L1023"/>
      <c r="M1023" s="12">
        <v>1695</v>
      </c>
      <c r="N1023" s="12">
        <v>1852</v>
      </c>
      <c r="O1023" s="12">
        <v>528</v>
      </c>
      <c r="P1023" s="12">
        <v>1930</v>
      </c>
      <c r="Q1023" s="12">
        <v>34551.46</v>
      </c>
      <c r="R1023" s="12">
        <v>2586</v>
      </c>
      <c r="S1023" s="12">
        <v>2049</v>
      </c>
      <c r="T1023" s="12">
        <v>19382.78</v>
      </c>
      <c r="U1023" s="12">
        <v>922</v>
      </c>
      <c r="V1023" s="12">
        <v>1586</v>
      </c>
      <c r="W1023" s="12">
        <v>4000</v>
      </c>
      <c r="X1023" s="12">
        <v>4000</v>
      </c>
      <c r="Y1023" s="12">
        <f t="shared" si="18"/>
        <v>75082.239999999991</v>
      </c>
    </row>
    <row r="1024" spans="1:25" ht="15">
      <c r="A1024">
        <v>2013</v>
      </c>
      <c r="B1024" t="s">
        <v>573</v>
      </c>
      <c r="C1024" t="s">
        <v>7</v>
      </c>
      <c r="D1024" t="s">
        <v>7</v>
      </c>
      <c r="E1024" t="s">
        <v>18</v>
      </c>
      <c r="F1024" t="s">
        <v>94</v>
      </c>
      <c r="G1024" t="s">
        <v>439</v>
      </c>
      <c r="H1024" t="s">
        <v>18</v>
      </c>
      <c r="I1024" t="s">
        <v>18</v>
      </c>
      <c r="J1024" t="s">
        <v>96</v>
      </c>
      <c r="K1024"/>
      <c r="L1024"/>
      <c r="M1024" s="12"/>
      <c r="N1024" s="12"/>
      <c r="O1024" s="12">
        <v>700</v>
      </c>
      <c r="P1024" s="12"/>
      <c r="Q1024" s="12">
        <v>1800</v>
      </c>
      <c r="R1024" s="12"/>
      <c r="S1024" s="12"/>
      <c r="T1024" s="12">
        <v>3600</v>
      </c>
      <c r="U1024" s="12">
        <v>480</v>
      </c>
      <c r="V1024" s="12">
        <v>400</v>
      </c>
      <c r="W1024" s="12">
        <v>400</v>
      </c>
      <c r="X1024" s="12">
        <v>400</v>
      </c>
      <c r="Y1024" s="12">
        <f t="shared" si="18"/>
        <v>7780</v>
      </c>
    </row>
    <row r="1025" spans="1:25" ht="15">
      <c r="A1025">
        <v>2013</v>
      </c>
      <c r="B1025" t="s">
        <v>573</v>
      </c>
      <c r="C1025" t="s">
        <v>7</v>
      </c>
      <c r="D1025" t="s">
        <v>7</v>
      </c>
      <c r="E1025" t="s">
        <v>18</v>
      </c>
      <c r="F1025" t="s">
        <v>94</v>
      </c>
      <c r="G1025" t="s">
        <v>439</v>
      </c>
      <c r="H1025" t="s">
        <v>18</v>
      </c>
      <c r="I1025" t="s">
        <v>18</v>
      </c>
      <c r="J1025" t="s">
        <v>97</v>
      </c>
      <c r="K1025"/>
      <c r="L1025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>
        <v>2400</v>
      </c>
      <c r="X1025" s="12">
        <v>2400</v>
      </c>
      <c r="Y1025" s="12">
        <f t="shared" si="18"/>
        <v>4800</v>
      </c>
    </row>
    <row r="1026" spans="1:25" ht="15">
      <c r="A1026">
        <v>2013</v>
      </c>
      <c r="B1026" t="s">
        <v>573</v>
      </c>
      <c r="C1026" t="s">
        <v>7</v>
      </c>
      <c r="D1026" t="s">
        <v>7</v>
      </c>
      <c r="E1026" t="s">
        <v>18</v>
      </c>
      <c r="F1026" t="s">
        <v>94</v>
      </c>
      <c r="G1026" t="s">
        <v>439</v>
      </c>
      <c r="H1026" t="s">
        <v>18</v>
      </c>
      <c r="I1026" t="s">
        <v>18</v>
      </c>
      <c r="J1026" t="s">
        <v>44</v>
      </c>
      <c r="K1026"/>
      <c r="L1026"/>
      <c r="M1026" s="12"/>
      <c r="N1026" s="12">
        <v>100</v>
      </c>
      <c r="O1026" s="12">
        <v>100</v>
      </c>
      <c r="P1026" s="12"/>
      <c r="Q1026" s="12"/>
      <c r="R1026" s="12"/>
      <c r="S1026" s="12"/>
      <c r="T1026" s="12"/>
      <c r="U1026" s="12"/>
      <c r="V1026" s="12"/>
      <c r="W1026" s="12">
        <v>100</v>
      </c>
      <c r="X1026" s="12">
        <v>100</v>
      </c>
      <c r="Y1026" s="12">
        <f t="shared" si="18"/>
        <v>400</v>
      </c>
    </row>
    <row r="1027" spans="1:25" ht="15">
      <c r="A1027">
        <v>2013</v>
      </c>
      <c r="B1027" t="s">
        <v>573</v>
      </c>
      <c r="C1027" t="s">
        <v>7</v>
      </c>
      <c r="D1027" t="s">
        <v>7</v>
      </c>
      <c r="E1027" t="s">
        <v>18</v>
      </c>
      <c r="F1027" t="s">
        <v>260</v>
      </c>
      <c r="G1027" t="s">
        <v>439</v>
      </c>
      <c r="H1027" t="s">
        <v>18</v>
      </c>
      <c r="I1027" t="s">
        <v>18</v>
      </c>
      <c r="J1027" t="s">
        <v>34</v>
      </c>
      <c r="K1027"/>
      <c r="L1027"/>
      <c r="M1027" s="12">
        <v>400</v>
      </c>
      <c r="N1027" s="12">
        <v>400</v>
      </c>
      <c r="O1027" s="12">
        <v>400</v>
      </c>
      <c r="P1027" s="12">
        <v>400</v>
      </c>
      <c r="Q1027" s="12">
        <v>400</v>
      </c>
      <c r="R1027" s="12">
        <v>400</v>
      </c>
      <c r="S1027" s="12">
        <v>200</v>
      </c>
      <c r="T1027" s="12">
        <v>200</v>
      </c>
      <c r="U1027" s="12">
        <v>266.67</v>
      </c>
      <c r="V1027" s="12">
        <v>400</v>
      </c>
      <c r="W1027" s="12"/>
      <c r="X1027" s="12"/>
      <c r="Y1027" s="12">
        <f t="shared" si="18"/>
        <v>3466.67</v>
      </c>
    </row>
    <row r="1028" spans="1:25" ht="15">
      <c r="A1028">
        <v>2013</v>
      </c>
      <c r="B1028" t="s">
        <v>573</v>
      </c>
      <c r="C1028" t="s">
        <v>7</v>
      </c>
      <c r="D1028" t="s">
        <v>7</v>
      </c>
      <c r="E1028" t="s">
        <v>18</v>
      </c>
      <c r="F1028" t="s">
        <v>260</v>
      </c>
      <c r="G1028" t="s">
        <v>439</v>
      </c>
      <c r="H1028" t="s">
        <v>18</v>
      </c>
      <c r="I1028" t="s">
        <v>18</v>
      </c>
      <c r="J1028" t="s">
        <v>43</v>
      </c>
      <c r="K1028"/>
      <c r="L1028"/>
      <c r="M1028" s="12">
        <v>14016.55</v>
      </c>
      <c r="N1028" s="12">
        <v>12098.69</v>
      </c>
      <c r="O1028" s="12">
        <v>15831.75</v>
      </c>
      <c r="P1028" s="12">
        <v>15602.01</v>
      </c>
      <c r="Q1028" s="12">
        <v>20735.830000000002</v>
      </c>
      <c r="R1028" s="12">
        <v>20751.88</v>
      </c>
      <c r="S1028" s="12">
        <v>23785.13</v>
      </c>
      <c r="T1028" s="12">
        <v>16935.759999999998</v>
      </c>
      <c r="U1028" s="12">
        <v>10684.73</v>
      </c>
      <c r="V1028" s="12">
        <v>11012</v>
      </c>
      <c r="W1028" s="12">
        <v>7500</v>
      </c>
      <c r="X1028" s="12">
        <v>7500</v>
      </c>
      <c r="Y1028" s="12">
        <f t="shared" si="18"/>
        <v>176454.33000000002</v>
      </c>
    </row>
    <row r="1029" spans="1:25" ht="15">
      <c r="A1029">
        <v>2013</v>
      </c>
      <c r="B1029" t="s">
        <v>573</v>
      </c>
      <c r="C1029" t="s">
        <v>7</v>
      </c>
      <c r="D1029" t="s">
        <v>7</v>
      </c>
      <c r="E1029" t="s">
        <v>18</v>
      </c>
      <c r="F1029" t="s">
        <v>166</v>
      </c>
      <c r="G1029" t="s">
        <v>439</v>
      </c>
      <c r="H1029" t="s">
        <v>18</v>
      </c>
      <c r="I1029" t="s">
        <v>18</v>
      </c>
      <c r="J1029" t="s">
        <v>43</v>
      </c>
      <c r="K1029"/>
      <c r="L1029"/>
      <c r="M1029" s="12">
        <v>1500</v>
      </c>
      <c r="N1029" s="12">
        <v>1500</v>
      </c>
      <c r="O1029" s="12">
        <v>1500</v>
      </c>
      <c r="P1029" s="12">
        <v>1500</v>
      </c>
      <c r="Q1029" s="12">
        <v>1500</v>
      </c>
      <c r="R1029" s="12">
        <v>1500</v>
      </c>
      <c r="S1029" s="12">
        <v>1500</v>
      </c>
      <c r="T1029" s="12"/>
      <c r="U1029" s="12">
        <v>3000</v>
      </c>
      <c r="V1029" s="12">
        <v>1500</v>
      </c>
      <c r="W1029" s="12">
        <v>1500</v>
      </c>
      <c r="X1029" s="12">
        <v>1500</v>
      </c>
      <c r="Y1029" s="12">
        <f t="shared" si="18"/>
        <v>18000</v>
      </c>
    </row>
    <row r="1030" spans="1:25" ht="15">
      <c r="A1030">
        <v>2013</v>
      </c>
      <c r="B1030" t="s">
        <v>573</v>
      </c>
      <c r="C1030" t="s">
        <v>7</v>
      </c>
      <c r="D1030" t="s">
        <v>7</v>
      </c>
      <c r="E1030" t="s">
        <v>18</v>
      </c>
      <c r="F1030" t="s">
        <v>166</v>
      </c>
      <c r="G1030" t="s">
        <v>439</v>
      </c>
      <c r="H1030" t="s">
        <v>18</v>
      </c>
      <c r="I1030" t="s">
        <v>18</v>
      </c>
      <c r="J1030" t="s">
        <v>96</v>
      </c>
      <c r="K1030"/>
      <c r="L1030"/>
      <c r="M1030" s="12"/>
      <c r="N1030" s="12"/>
      <c r="O1030" s="12"/>
      <c r="P1030" s="12">
        <v>43695</v>
      </c>
      <c r="Q1030" s="12"/>
      <c r="R1030" s="12"/>
      <c r="S1030" s="12"/>
      <c r="T1030" s="12">
        <v>39924</v>
      </c>
      <c r="U1030" s="12"/>
      <c r="V1030" s="12"/>
      <c r="W1030" s="12"/>
      <c r="X1030" s="12"/>
      <c r="Y1030" s="12">
        <f t="shared" si="18"/>
        <v>83619</v>
      </c>
    </row>
    <row r="1031" spans="1:25" ht="15">
      <c r="A1031">
        <v>2013</v>
      </c>
      <c r="B1031" t="s">
        <v>573</v>
      </c>
      <c r="C1031" t="s">
        <v>7</v>
      </c>
      <c r="D1031" t="s">
        <v>7</v>
      </c>
      <c r="E1031" t="s">
        <v>18</v>
      </c>
      <c r="F1031" t="s">
        <v>247</v>
      </c>
      <c r="G1031" t="s">
        <v>439</v>
      </c>
      <c r="H1031" t="s">
        <v>18</v>
      </c>
      <c r="I1031" t="s">
        <v>18</v>
      </c>
      <c r="J1031" t="s">
        <v>44</v>
      </c>
      <c r="K1031"/>
      <c r="L1031"/>
      <c r="M1031" s="12">
        <v>468</v>
      </c>
      <c r="N1031" s="12">
        <v>351</v>
      </c>
      <c r="O1031" s="12">
        <v>331.55</v>
      </c>
      <c r="P1031" s="12">
        <v>354</v>
      </c>
      <c r="Q1031" s="12">
        <v>479</v>
      </c>
      <c r="R1031" s="12">
        <v>212</v>
      </c>
      <c r="S1031" s="12">
        <v>400</v>
      </c>
      <c r="T1031" s="12">
        <v>314</v>
      </c>
      <c r="U1031" s="12">
        <v>350</v>
      </c>
      <c r="V1031" s="12">
        <v>258.3</v>
      </c>
      <c r="W1031" s="12">
        <v>550</v>
      </c>
      <c r="X1031" s="12">
        <v>550</v>
      </c>
      <c r="Y1031" s="12">
        <f t="shared" si="18"/>
        <v>4617.8500000000004</v>
      </c>
    </row>
    <row r="1032" spans="1:25" ht="15">
      <c r="A1032">
        <v>2013</v>
      </c>
      <c r="B1032" t="s">
        <v>573</v>
      </c>
      <c r="C1032" t="s">
        <v>7</v>
      </c>
      <c r="D1032" t="s">
        <v>7</v>
      </c>
      <c r="E1032" t="s">
        <v>138</v>
      </c>
      <c r="F1032" t="s">
        <v>220</v>
      </c>
      <c r="G1032" t="s">
        <v>439</v>
      </c>
      <c r="H1032" t="s">
        <v>138</v>
      </c>
      <c r="I1032" t="s">
        <v>139</v>
      </c>
      <c r="J1032" t="s">
        <v>140</v>
      </c>
      <c r="K1032"/>
      <c r="L1032"/>
      <c r="M1032" s="12">
        <v>2215.1999999999998</v>
      </c>
      <c r="N1032" s="12"/>
      <c r="O1032" s="12"/>
      <c r="P1032" s="12">
        <v>1235.94</v>
      </c>
      <c r="Q1032" s="12"/>
      <c r="R1032" s="12"/>
      <c r="S1032" s="12"/>
      <c r="T1032" s="12">
        <v>27848.06</v>
      </c>
      <c r="U1032" s="12"/>
      <c r="V1032" s="12"/>
      <c r="W1032" s="12">
        <v>2000</v>
      </c>
      <c r="X1032" s="12">
        <v>2000</v>
      </c>
      <c r="Y1032" s="12">
        <f t="shared" si="18"/>
        <v>35299.199999999997</v>
      </c>
    </row>
    <row r="1033" spans="1:25" ht="15">
      <c r="A1033">
        <v>2013</v>
      </c>
      <c r="B1033" t="s">
        <v>573</v>
      </c>
      <c r="C1033" t="s">
        <v>7</v>
      </c>
      <c r="D1033" t="s">
        <v>7</v>
      </c>
      <c r="E1033" t="s">
        <v>138</v>
      </c>
      <c r="F1033" t="s">
        <v>208</v>
      </c>
      <c r="G1033" t="s">
        <v>245</v>
      </c>
      <c r="H1033" t="s">
        <v>138</v>
      </c>
      <c r="I1033" t="s">
        <v>139</v>
      </c>
      <c r="J1033" t="s">
        <v>337</v>
      </c>
      <c r="K1033"/>
      <c r="L1033"/>
      <c r="M1033" s="12"/>
      <c r="N1033" s="12"/>
      <c r="O1033" s="12"/>
      <c r="P1033" s="12"/>
      <c r="Q1033" s="12"/>
      <c r="R1033" s="12">
        <v>6075.58</v>
      </c>
      <c r="S1033" s="12"/>
      <c r="T1033" s="12"/>
      <c r="U1033" s="12"/>
      <c r="V1033" s="12"/>
      <c r="W1033" s="12"/>
      <c r="X1033" s="12"/>
      <c r="Y1033" s="12">
        <f t="shared" si="18"/>
        <v>6075.58</v>
      </c>
    </row>
    <row r="1034" spans="1:25" ht="15">
      <c r="A1034">
        <v>2013</v>
      </c>
      <c r="B1034" t="s">
        <v>573</v>
      </c>
      <c r="C1034" t="s">
        <v>7</v>
      </c>
      <c r="D1034" t="s">
        <v>7</v>
      </c>
      <c r="E1034" t="s">
        <v>45</v>
      </c>
      <c r="F1034" t="s">
        <v>85</v>
      </c>
      <c r="G1034" t="s">
        <v>439</v>
      </c>
      <c r="H1034" t="s">
        <v>45</v>
      </c>
      <c r="I1034" t="s">
        <v>45</v>
      </c>
      <c r="J1034" t="s">
        <v>218</v>
      </c>
      <c r="K1034"/>
      <c r="L1034"/>
      <c r="M1034" s="12"/>
      <c r="N1034" s="12"/>
      <c r="O1034" s="12"/>
      <c r="P1034" s="12"/>
      <c r="Q1034" s="12"/>
      <c r="R1034" s="12">
        <v>117</v>
      </c>
      <c r="S1034" s="12"/>
      <c r="T1034" s="12"/>
      <c r="U1034" s="12"/>
      <c r="V1034" s="12"/>
      <c r="W1034" s="12"/>
      <c r="X1034" s="12"/>
      <c r="Y1034" s="12">
        <f t="shared" si="18"/>
        <v>117</v>
      </c>
    </row>
    <row r="1035" spans="1:25" ht="15">
      <c r="A1035">
        <v>2013</v>
      </c>
      <c r="B1035" t="s">
        <v>573</v>
      </c>
      <c r="C1035" t="s">
        <v>7</v>
      </c>
      <c r="D1035" t="s">
        <v>7</v>
      </c>
      <c r="E1035" t="s">
        <v>45</v>
      </c>
      <c r="F1035" t="s">
        <v>213</v>
      </c>
      <c r="G1035" t="s">
        <v>439</v>
      </c>
      <c r="H1035" t="s">
        <v>45</v>
      </c>
      <c r="I1035" t="s">
        <v>45</v>
      </c>
      <c r="J1035" t="s">
        <v>218</v>
      </c>
      <c r="K1035"/>
      <c r="L1035"/>
      <c r="M1035" s="12">
        <v>2365.1</v>
      </c>
      <c r="N1035" s="12">
        <v>122.4</v>
      </c>
      <c r="O1035" s="12">
        <v>663.53</v>
      </c>
      <c r="P1035" s="12"/>
      <c r="Q1035" s="12">
        <v>63</v>
      </c>
      <c r="R1035" s="12">
        <v>3375.57</v>
      </c>
      <c r="S1035" s="12">
        <v>50797.599999999999</v>
      </c>
      <c r="T1035" s="12"/>
      <c r="U1035" s="12">
        <v>1445.07</v>
      </c>
      <c r="V1035" s="12">
        <v>59.6</v>
      </c>
      <c r="W1035" s="12"/>
      <c r="X1035" s="12"/>
      <c r="Y1035" s="12">
        <f t="shared" si="18"/>
        <v>58891.869999999995</v>
      </c>
    </row>
    <row r="1036" spans="1:25" ht="15">
      <c r="A1036">
        <v>2013</v>
      </c>
      <c r="B1036" t="s">
        <v>573</v>
      </c>
      <c r="C1036" t="s">
        <v>7</v>
      </c>
      <c r="D1036" t="s">
        <v>7</v>
      </c>
      <c r="E1036" t="s">
        <v>29</v>
      </c>
      <c r="F1036" t="s">
        <v>236</v>
      </c>
      <c r="G1036" t="s">
        <v>439</v>
      </c>
      <c r="H1036" t="s">
        <v>29</v>
      </c>
      <c r="I1036" t="s">
        <v>29</v>
      </c>
      <c r="J1036" t="s">
        <v>95</v>
      </c>
      <c r="K1036"/>
      <c r="L1036"/>
      <c r="M1036" s="12"/>
      <c r="N1036" s="12">
        <v>69.12</v>
      </c>
      <c r="O1036" s="12">
        <v>1230</v>
      </c>
      <c r="P1036" s="12">
        <v>428</v>
      </c>
      <c r="Q1036" s="12">
        <v>295</v>
      </c>
      <c r="R1036" s="12"/>
      <c r="S1036" s="12">
        <v>170</v>
      </c>
      <c r="T1036" s="12"/>
      <c r="U1036" s="12">
        <v>1960</v>
      </c>
      <c r="V1036" s="12"/>
      <c r="W1036" s="12">
        <v>1000</v>
      </c>
      <c r="X1036" s="12">
        <v>1000</v>
      </c>
      <c r="Y1036" s="12">
        <f t="shared" si="18"/>
        <v>6152.12</v>
      </c>
    </row>
    <row r="1037" spans="1:25" ht="15">
      <c r="A1037">
        <v>2013</v>
      </c>
      <c r="B1037" t="s">
        <v>573</v>
      </c>
      <c r="C1037" t="s">
        <v>7</v>
      </c>
      <c r="D1037" t="s">
        <v>7</v>
      </c>
      <c r="E1037" t="s">
        <v>29</v>
      </c>
      <c r="F1037" t="s">
        <v>236</v>
      </c>
      <c r="G1037" t="s">
        <v>439</v>
      </c>
      <c r="H1037" t="s">
        <v>29</v>
      </c>
      <c r="I1037" t="s">
        <v>29</v>
      </c>
      <c r="J1037" t="s">
        <v>31</v>
      </c>
      <c r="K1037"/>
      <c r="L1037"/>
      <c r="M1037" s="12">
        <v>2820</v>
      </c>
      <c r="N1037" s="12"/>
      <c r="O1037" s="12">
        <v>12</v>
      </c>
      <c r="P1037" s="12"/>
      <c r="Q1037" s="12"/>
      <c r="R1037" s="12">
        <v>1105.98</v>
      </c>
      <c r="S1037" s="12"/>
      <c r="T1037" s="12"/>
      <c r="U1037" s="12"/>
      <c r="V1037" s="12"/>
      <c r="W1037" s="12"/>
      <c r="X1037" s="12"/>
      <c r="Y1037" s="12">
        <f t="shared" si="18"/>
        <v>3937.98</v>
      </c>
    </row>
    <row r="1038" spans="1:25" ht="15">
      <c r="A1038">
        <v>2013</v>
      </c>
      <c r="B1038" t="s">
        <v>573</v>
      </c>
      <c r="C1038" t="s">
        <v>7</v>
      </c>
      <c r="D1038" t="s">
        <v>7</v>
      </c>
      <c r="E1038" t="s">
        <v>29</v>
      </c>
      <c r="F1038" t="s">
        <v>236</v>
      </c>
      <c r="G1038" t="s">
        <v>439</v>
      </c>
      <c r="H1038" t="s">
        <v>29</v>
      </c>
      <c r="I1038" t="s">
        <v>29</v>
      </c>
      <c r="J1038" t="s">
        <v>584</v>
      </c>
      <c r="K1038"/>
      <c r="L1038"/>
      <c r="M1038" s="12"/>
      <c r="N1038" s="12"/>
      <c r="O1038" s="12"/>
      <c r="P1038" s="12"/>
      <c r="Q1038" s="12"/>
      <c r="R1038" s="12"/>
      <c r="S1038" s="12">
        <v>1951.58</v>
      </c>
      <c r="T1038" s="12"/>
      <c r="U1038" s="12"/>
      <c r="V1038" s="12"/>
      <c r="W1038" s="12"/>
      <c r="X1038" s="12"/>
      <c r="Y1038" s="12">
        <f t="shared" si="18"/>
        <v>1951.58</v>
      </c>
    </row>
    <row r="1039" spans="1:25" ht="15">
      <c r="A1039">
        <v>2013</v>
      </c>
      <c r="B1039" t="s">
        <v>573</v>
      </c>
      <c r="C1039" t="s">
        <v>7</v>
      </c>
      <c r="D1039" t="s">
        <v>7</v>
      </c>
      <c r="E1039" t="s">
        <v>29</v>
      </c>
      <c r="F1039" t="s">
        <v>220</v>
      </c>
      <c r="G1039" t="s">
        <v>439</v>
      </c>
      <c r="H1039" t="s">
        <v>29</v>
      </c>
      <c r="I1039" t="s">
        <v>29</v>
      </c>
      <c r="J1039" t="s">
        <v>95</v>
      </c>
      <c r="K1039"/>
      <c r="L1039"/>
      <c r="M1039" s="12">
        <v>2306.56</v>
      </c>
      <c r="N1039" s="12">
        <v>1178.72</v>
      </c>
      <c r="O1039" s="12">
        <v>7612.39</v>
      </c>
      <c r="P1039" s="12">
        <v>1181.07</v>
      </c>
      <c r="Q1039" s="12">
        <v>2528.48</v>
      </c>
      <c r="R1039" s="12">
        <v>5759.16</v>
      </c>
      <c r="S1039" s="12">
        <v>2500.9299999999998</v>
      </c>
      <c r="T1039" s="12">
        <v>1214.03</v>
      </c>
      <c r="U1039" s="12">
        <v>6884.02</v>
      </c>
      <c r="V1039" s="12">
        <v>1207.18</v>
      </c>
      <c r="W1039" s="12">
        <v>2900</v>
      </c>
      <c r="X1039" s="12">
        <v>5600</v>
      </c>
      <c r="Y1039" s="12">
        <f t="shared" si="18"/>
        <v>40872.539999999994</v>
      </c>
    </row>
    <row r="1040" spans="1:25" ht="15">
      <c r="A1040">
        <v>2013</v>
      </c>
      <c r="B1040" t="s">
        <v>573</v>
      </c>
      <c r="C1040" t="s">
        <v>7</v>
      </c>
      <c r="D1040" t="s">
        <v>7</v>
      </c>
      <c r="E1040" t="s">
        <v>29</v>
      </c>
      <c r="F1040" t="s">
        <v>220</v>
      </c>
      <c r="G1040" t="s">
        <v>439</v>
      </c>
      <c r="H1040" t="s">
        <v>29</v>
      </c>
      <c r="I1040" t="s">
        <v>29</v>
      </c>
      <c r="J1040" t="s">
        <v>224</v>
      </c>
      <c r="K1040"/>
      <c r="L1040"/>
      <c r="M1040" s="12"/>
      <c r="N1040" s="12"/>
      <c r="O1040" s="12"/>
      <c r="P1040" s="12">
        <v>3262.61</v>
      </c>
      <c r="Q1040" s="12">
        <v>209.32</v>
      </c>
      <c r="R1040" s="12">
        <v>959.21</v>
      </c>
      <c r="S1040" s="12">
        <v>1931.6</v>
      </c>
      <c r="T1040" s="12"/>
      <c r="U1040" s="12">
        <v>1064.25</v>
      </c>
      <c r="V1040" s="12">
        <v>5000</v>
      </c>
      <c r="W1040" s="12">
        <v>1000</v>
      </c>
      <c r="X1040" s="12">
        <v>1000</v>
      </c>
      <c r="Y1040" s="12">
        <f t="shared" si="18"/>
        <v>14426.99</v>
      </c>
    </row>
    <row r="1041" spans="1:25" ht="15">
      <c r="A1041">
        <v>2013</v>
      </c>
      <c r="B1041" t="s">
        <v>573</v>
      </c>
      <c r="C1041" t="s">
        <v>7</v>
      </c>
      <c r="D1041" t="s">
        <v>7</v>
      </c>
      <c r="E1041" t="s">
        <v>29</v>
      </c>
      <c r="F1041" t="s">
        <v>220</v>
      </c>
      <c r="G1041" t="s">
        <v>439</v>
      </c>
      <c r="H1041" t="s">
        <v>29</v>
      </c>
      <c r="I1041" t="s">
        <v>29</v>
      </c>
      <c r="J1041" t="s">
        <v>31</v>
      </c>
      <c r="K1041"/>
      <c r="L1041"/>
      <c r="M1041" s="12"/>
      <c r="N1041" s="12"/>
      <c r="O1041" s="12">
        <v>596.26</v>
      </c>
      <c r="P1041" s="12"/>
      <c r="Q1041" s="12">
        <v>28405</v>
      </c>
      <c r="R1041" s="12"/>
      <c r="S1041" s="12"/>
      <c r="T1041" s="12"/>
      <c r="U1041" s="12">
        <v>455</v>
      </c>
      <c r="V1041" s="12"/>
      <c r="W1041" s="12"/>
      <c r="X1041" s="12"/>
      <c r="Y1041" s="12">
        <f t="shared" si="18"/>
        <v>29456.26</v>
      </c>
    </row>
    <row r="1042" spans="1:25" ht="15">
      <c r="A1042">
        <v>2013</v>
      </c>
      <c r="B1042" t="s">
        <v>573</v>
      </c>
      <c r="C1042" t="s">
        <v>7</v>
      </c>
      <c r="D1042" t="s">
        <v>7</v>
      </c>
      <c r="E1042" t="s">
        <v>29</v>
      </c>
      <c r="F1042" t="s">
        <v>220</v>
      </c>
      <c r="G1042" t="s">
        <v>439</v>
      </c>
      <c r="H1042" t="s">
        <v>29</v>
      </c>
      <c r="I1042" t="s">
        <v>29</v>
      </c>
      <c r="J1042" t="s">
        <v>30</v>
      </c>
      <c r="K1042"/>
      <c r="L1042"/>
      <c r="M1042" s="12">
        <v>1624.86</v>
      </c>
      <c r="N1042" s="12">
        <v>1087.8900000000001</v>
      </c>
      <c r="O1042" s="12">
        <v>595</v>
      </c>
      <c r="P1042" s="12">
        <v>1040</v>
      </c>
      <c r="Q1042" s="12">
        <v>1452</v>
      </c>
      <c r="R1042" s="12">
        <v>1616.58</v>
      </c>
      <c r="S1042" s="12">
        <v>335</v>
      </c>
      <c r="T1042" s="12">
        <v>557.99</v>
      </c>
      <c r="U1042" s="12">
        <v>20</v>
      </c>
      <c r="V1042" s="12">
        <v>707.56</v>
      </c>
      <c r="W1042" s="12">
        <v>3140</v>
      </c>
      <c r="X1042" s="12">
        <v>3140</v>
      </c>
      <c r="Y1042" s="12">
        <f t="shared" si="18"/>
        <v>15316.88</v>
      </c>
    </row>
    <row r="1043" spans="1:25" ht="15">
      <c r="A1043">
        <v>2013</v>
      </c>
      <c r="B1043" t="s">
        <v>573</v>
      </c>
      <c r="C1043" t="s">
        <v>7</v>
      </c>
      <c r="D1043" t="s">
        <v>7</v>
      </c>
      <c r="E1043" t="s">
        <v>29</v>
      </c>
      <c r="F1043" t="s">
        <v>234</v>
      </c>
      <c r="G1043" t="s">
        <v>439</v>
      </c>
      <c r="H1043" t="s">
        <v>29</v>
      </c>
      <c r="I1043" t="s">
        <v>29</v>
      </c>
      <c r="J1043" t="s">
        <v>95</v>
      </c>
      <c r="K1043"/>
      <c r="L1043"/>
      <c r="M1043" s="12">
        <v>1828.66</v>
      </c>
      <c r="N1043" s="12">
        <v>2496.8200000000002</v>
      </c>
      <c r="O1043" s="12">
        <v>1443.03</v>
      </c>
      <c r="P1043" s="12">
        <v>6575.87</v>
      </c>
      <c r="Q1043" s="12">
        <v>12655.89</v>
      </c>
      <c r="R1043" s="12">
        <v>9815.5400000000009</v>
      </c>
      <c r="S1043" s="12">
        <v>979.96</v>
      </c>
      <c r="T1043" s="12">
        <v>1822.01</v>
      </c>
      <c r="U1043" s="12">
        <v>5304.18</v>
      </c>
      <c r="V1043" s="12">
        <v>1509.22</v>
      </c>
      <c r="W1043" s="12">
        <v>2000</v>
      </c>
      <c r="X1043" s="12">
        <v>2000</v>
      </c>
      <c r="Y1043" s="12">
        <f t="shared" si="18"/>
        <v>48431.18</v>
      </c>
    </row>
    <row r="1044" spans="1:25" ht="15">
      <c r="A1044">
        <v>2013</v>
      </c>
      <c r="B1044" t="s">
        <v>573</v>
      </c>
      <c r="C1044" t="s">
        <v>7</v>
      </c>
      <c r="D1044" t="s">
        <v>7</v>
      </c>
      <c r="E1044" t="s">
        <v>29</v>
      </c>
      <c r="F1044" t="s">
        <v>234</v>
      </c>
      <c r="G1044" t="s">
        <v>439</v>
      </c>
      <c r="H1044" t="s">
        <v>29</v>
      </c>
      <c r="I1044" t="s">
        <v>29</v>
      </c>
      <c r="J1044" t="s">
        <v>31</v>
      </c>
      <c r="K1044"/>
      <c r="L1044"/>
      <c r="M1044" s="12">
        <v>0</v>
      </c>
      <c r="N1044" s="12"/>
      <c r="O1044" s="12"/>
      <c r="P1044" s="12">
        <v>5</v>
      </c>
      <c r="Q1044" s="12"/>
      <c r="R1044" s="12"/>
      <c r="S1044" s="12"/>
      <c r="T1044" s="12"/>
      <c r="U1044" s="12"/>
      <c r="V1044" s="12"/>
      <c r="W1044" s="12"/>
      <c r="X1044" s="12"/>
      <c r="Y1044" s="12">
        <f t="shared" si="18"/>
        <v>5</v>
      </c>
    </row>
    <row r="1045" spans="1:25" ht="15">
      <c r="A1045">
        <v>2013</v>
      </c>
      <c r="B1045" t="s">
        <v>573</v>
      </c>
      <c r="C1045" t="s">
        <v>7</v>
      </c>
      <c r="D1045" t="s">
        <v>7</v>
      </c>
      <c r="E1045" t="s">
        <v>29</v>
      </c>
      <c r="F1045" t="s">
        <v>234</v>
      </c>
      <c r="G1045" t="s">
        <v>439</v>
      </c>
      <c r="H1045" t="s">
        <v>29</v>
      </c>
      <c r="I1045" t="s">
        <v>29</v>
      </c>
      <c r="J1045" t="s">
        <v>584</v>
      </c>
      <c r="K1045"/>
      <c r="L1045"/>
      <c r="M1045" s="12"/>
      <c r="N1045" s="12">
        <v>11478.38</v>
      </c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>
        <f t="shared" si="18"/>
        <v>11478.38</v>
      </c>
    </row>
    <row r="1046" spans="1:25" ht="15">
      <c r="A1046">
        <v>2013</v>
      </c>
      <c r="B1046" t="s">
        <v>573</v>
      </c>
      <c r="C1046" t="s">
        <v>7</v>
      </c>
      <c r="D1046" t="s">
        <v>7</v>
      </c>
      <c r="E1046" t="s">
        <v>29</v>
      </c>
      <c r="F1046" t="s">
        <v>234</v>
      </c>
      <c r="G1046" t="s">
        <v>439</v>
      </c>
      <c r="H1046" t="s">
        <v>29</v>
      </c>
      <c r="I1046" t="s">
        <v>29</v>
      </c>
      <c r="J1046" t="s">
        <v>30</v>
      </c>
      <c r="K1046"/>
      <c r="L1046"/>
      <c r="M1046" s="12">
        <v>6459.22</v>
      </c>
      <c r="N1046" s="12">
        <v>8375.92</v>
      </c>
      <c r="O1046" s="12">
        <v>9156.2099999999991</v>
      </c>
      <c r="P1046" s="12">
        <v>8514.43</v>
      </c>
      <c r="Q1046" s="12">
        <v>9104.3799999999992</v>
      </c>
      <c r="R1046" s="12">
        <v>4891.3599999999997</v>
      </c>
      <c r="S1046" s="12">
        <v>7064.53</v>
      </c>
      <c r="T1046" s="12">
        <v>2858.56</v>
      </c>
      <c r="U1046" s="12">
        <v>6734.05</v>
      </c>
      <c r="V1046" s="12">
        <v>6688.86</v>
      </c>
      <c r="W1046" s="12">
        <v>8600</v>
      </c>
      <c r="X1046" s="12">
        <v>8600</v>
      </c>
      <c r="Y1046" s="12">
        <f t="shared" ref="Y1046:Y1109" si="19">SUM(M1046:X1046)</f>
        <v>87047.51999999999</v>
      </c>
    </row>
    <row r="1047" spans="1:25" ht="15">
      <c r="A1047">
        <v>2013</v>
      </c>
      <c r="B1047" t="s">
        <v>573</v>
      </c>
      <c r="C1047" t="s">
        <v>7</v>
      </c>
      <c r="D1047" t="s">
        <v>7</v>
      </c>
      <c r="E1047" t="s">
        <v>29</v>
      </c>
      <c r="F1047" t="s">
        <v>237</v>
      </c>
      <c r="G1047" t="s">
        <v>439</v>
      </c>
      <c r="H1047" t="s">
        <v>29</v>
      </c>
      <c r="I1047" t="s">
        <v>29</v>
      </c>
      <c r="J1047" t="s">
        <v>31</v>
      </c>
      <c r="K1047"/>
      <c r="L1047"/>
      <c r="M1047" s="12"/>
      <c r="N1047" s="12"/>
      <c r="O1047" s="12"/>
      <c r="P1047" s="12"/>
      <c r="Q1047" s="12"/>
      <c r="R1047" s="12">
        <v>1260</v>
      </c>
      <c r="S1047" s="12"/>
      <c r="T1047" s="12"/>
      <c r="U1047" s="12"/>
      <c r="V1047" s="12"/>
      <c r="W1047" s="12"/>
      <c r="X1047" s="12"/>
      <c r="Y1047" s="12">
        <f t="shared" si="19"/>
        <v>1260</v>
      </c>
    </row>
    <row r="1048" spans="1:25" ht="15">
      <c r="A1048">
        <v>2013</v>
      </c>
      <c r="B1048" t="s">
        <v>573</v>
      </c>
      <c r="C1048" t="s">
        <v>7</v>
      </c>
      <c r="D1048" t="s">
        <v>7</v>
      </c>
      <c r="E1048" t="s">
        <v>29</v>
      </c>
      <c r="F1048" t="s">
        <v>237</v>
      </c>
      <c r="G1048" t="s">
        <v>439</v>
      </c>
      <c r="H1048" t="s">
        <v>29</v>
      </c>
      <c r="I1048" t="s">
        <v>29</v>
      </c>
      <c r="J1048" t="s">
        <v>30</v>
      </c>
      <c r="K1048"/>
      <c r="L1048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>
        <v>50</v>
      </c>
      <c r="X1048" s="12">
        <v>50</v>
      </c>
      <c r="Y1048" s="12">
        <f t="shared" si="19"/>
        <v>100</v>
      </c>
    </row>
    <row r="1049" spans="1:25" ht="15">
      <c r="A1049">
        <v>2013</v>
      </c>
      <c r="B1049" t="s">
        <v>573</v>
      </c>
      <c r="C1049" t="s">
        <v>7</v>
      </c>
      <c r="D1049" t="s">
        <v>7</v>
      </c>
      <c r="E1049" t="s">
        <v>29</v>
      </c>
      <c r="F1049" t="s">
        <v>213</v>
      </c>
      <c r="G1049" t="s">
        <v>439</v>
      </c>
      <c r="H1049" t="s">
        <v>29</v>
      </c>
      <c r="I1049" t="s">
        <v>29</v>
      </c>
      <c r="J1049" t="s">
        <v>95</v>
      </c>
      <c r="K1049"/>
      <c r="L1049"/>
      <c r="M1049" s="12">
        <v>52.13</v>
      </c>
      <c r="N1049" s="12"/>
      <c r="O1049" s="12"/>
      <c r="P1049" s="12"/>
      <c r="Q1049" s="12"/>
      <c r="R1049" s="12"/>
      <c r="S1049" s="12"/>
      <c r="T1049" s="12">
        <v>62.3</v>
      </c>
      <c r="U1049" s="12"/>
      <c r="V1049" s="12"/>
      <c r="W1049" s="12"/>
      <c r="X1049" s="12"/>
      <c r="Y1049" s="12">
        <f t="shared" si="19"/>
        <v>114.43</v>
      </c>
    </row>
    <row r="1050" spans="1:25" ht="15">
      <c r="A1050">
        <v>2013</v>
      </c>
      <c r="B1050" t="s">
        <v>573</v>
      </c>
      <c r="C1050" t="s">
        <v>7</v>
      </c>
      <c r="D1050" t="s">
        <v>7</v>
      </c>
      <c r="E1050" t="s">
        <v>29</v>
      </c>
      <c r="F1050" t="s">
        <v>213</v>
      </c>
      <c r="G1050" t="s">
        <v>439</v>
      </c>
      <c r="H1050" t="s">
        <v>29</v>
      </c>
      <c r="I1050" t="s">
        <v>29</v>
      </c>
      <c r="J1050" t="s">
        <v>31</v>
      </c>
      <c r="K1050"/>
      <c r="L1050"/>
      <c r="M1050" s="12">
        <v>14131.3</v>
      </c>
      <c r="N1050" s="12">
        <v>8663.6299999999992</v>
      </c>
      <c r="O1050" s="12">
        <v>6424.72</v>
      </c>
      <c r="P1050" s="12">
        <v>81889.570000000007</v>
      </c>
      <c r="Q1050" s="12">
        <v>14429</v>
      </c>
      <c r="R1050" s="12">
        <v>3551.25</v>
      </c>
      <c r="S1050" s="12"/>
      <c r="T1050" s="12"/>
      <c r="U1050" s="12"/>
      <c r="V1050" s="12"/>
      <c r="W1050" s="12"/>
      <c r="X1050" s="12"/>
      <c r="Y1050" s="12">
        <f t="shared" si="19"/>
        <v>129089.47</v>
      </c>
    </row>
    <row r="1051" spans="1:25" ht="15">
      <c r="A1051">
        <v>2013</v>
      </c>
      <c r="B1051" t="s">
        <v>573</v>
      </c>
      <c r="C1051" t="s">
        <v>7</v>
      </c>
      <c r="D1051" t="s">
        <v>7</v>
      </c>
      <c r="E1051" t="s">
        <v>29</v>
      </c>
      <c r="F1051" t="s">
        <v>239</v>
      </c>
      <c r="G1051" t="s">
        <v>439</v>
      </c>
      <c r="H1051" t="s">
        <v>29</v>
      </c>
      <c r="I1051" t="s">
        <v>29</v>
      </c>
      <c r="J1051" t="s">
        <v>95</v>
      </c>
      <c r="K1051"/>
      <c r="L1051"/>
      <c r="M1051" s="12">
        <v>77.47</v>
      </c>
      <c r="N1051" s="12">
        <v>184.76</v>
      </c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>
        <f t="shared" si="19"/>
        <v>262.23</v>
      </c>
    </row>
    <row r="1052" spans="1:25" ht="15">
      <c r="A1052">
        <v>2013</v>
      </c>
      <c r="B1052" t="s">
        <v>573</v>
      </c>
      <c r="C1052" t="s">
        <v>7</v>
      </c>
      <c r="D1052" t="s">
        <v>7</v>
      </c>
      <c r="E1052" t="s">
        <v>29</v>
      </c>
      <c r="F1052" t="s">
        <v>239</v>
      </c>
      <c r="G1052" t="s">
        <v>439</v>
      </c>
      <c r="H1052" t="s">
        <v>29</v>
      </c>
      <c r="I1052" t="s">
        <v>29</v>
      </c>
      <c r="J1052" t="s">
        <v>30</v>
      </c>
      <c r="K1052"/>
      <c r="L1052"/>
      <c r="M1052" s="12"/>
      <c r="N1052" s="12"/>
      <c r="O1052" s="12"/>
      <c r="P1052" s="12"/>
      <c r="Q1052" s="12"/>
      <c r="R1052" s="12">
        <v>731.88</v>
      </c>
      <c r="S1052" s="12"/>
      <c r="T1052" s="12"/>
      <c r="U1052" s="12"/>
      <c r="V1052" s="12"/>
      <c r="W1052" s="12"/>
      <c r="X1052" s="12"/>
      <c r="Y1052" s="12">
        <f t="shared" si="19"/>
        <v>731.88</v>
      </c>
    </row>
    <row r="1053" spans="1:25" ht="15">
      <c r="A1053">
        <v>2013</v>
      </c>
      <c r="B1053" t="s">
        <v>573</v>
      </c>
      <c r="C1053" t="s">
        <v>7</v>
      </c>
      <c r="D1053" t="s">
        <v>7</v>
      </c>
      <c r="E1053" t="s">
        <v>29</v>
      </c>
      <c r="F1053" t="s">
        <v>258</v>
      </c>
      <c r="G1053" t="s">
        <v>439</v>
      </c>
      <c r="H1053" t="s">
        <v>29</v>
      </c>
      <c r="I1053" t="s">
        <v>29</v>
      </c>
      <c r="J1053" t="s">
        <v>95</v>
      </c>
      <c r="K1053"/>
      <c r="L1053"/>
      <c r="M1053" s="12">
        <v>55.5</v>
      </c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>
        <f t="shared" si="19"/>
        <v>55.5</v>
      </c>
    </row>
    <row r="1054" spans="1:25" ht="15">
      <c r="A1054">
        <v>2013</v>
      </c>
      <c r="B1054" t="s">
        <v>573</v>
      </c>
      <c r="C1054" t="s">
        <v>7</v>
      </c>
      <c r="D1054" t="s">
        <v>7</v>
      </c>
      <c r="E1054" t="s">
        <v>29</v>
      </c>
      <c r="F1054" t="s">
        <v>258</v>
      </c>
      <c r="G1054" t="s">
        <v>439</v>
      </c>
      <c r="H1054" t="s">
        <v>29</v>
      </c>
      <c r="I1054" t="s">
        <v>29</v>
      </c>
      <c r="J1054" t="s">
        <v>31</v>
      </c>
      <c r="K1054"/>
      <c r="L1054"/>
      <c r="M1054" s="12"/>
      <c r="N1054" s="12">
        <v>2295</v>
      </c>
      <c r="O1054" s="12"/>
      <c r="P1054" s="12">
        <v>399.24</v>
      </c>
      <c r="Q1054" s="12">
        <v>399.24</v>
      </c>
      <c r="R1054" s="12"/>
      <c r="S1054" s="12"/>
      <c r="T1054" s="12">
        <v>558.92999999999995</v>
      </c>
      <c r="U1054" s="12"/>
      <c r="V1054" s="12">
        <v>21837.279999999999</v>
      </c>
      <c r="W1054" s="12">
        <v>400</v>
      </c>
      <c r="X1054" s="12">
        <v>400</v>
      </c>
      <c r="Y1054" s="12">
        <f t="shared" si="19"/>
        <v>26289.69</v>
      </c>
    </row>
    <row r="1055" spans="1:25" ht="15">
      <c r="A1055">
        <v>2013</v>
      </c>
      <c r="B1055" t="s">
        <v>573</v>
      </c>
      <c r="C1055" t="s">
        <v>7</v>
      </c>
      <c r="D1055" t="s">
        <v>7</v>
      </c>
      <c r="E1055" t="s">
        <v>29</v>
      </c>
      <c r="F1055" t="s">
        <v>258</v>
      </c>
      <c r="G1055" t="s">
        <v>439</v>
      </c>
      <c r="H1055" t="s">
        <v>29</v>
      </c>
      <c r="I1055" t="s">
        <v>29</v>
      </c>
      <c r="J1055" t="s">
        <v>584</v>
      </c>
      <c r="K1055"/>
      <c r="L1055"/>
      <c r="M1055" s="12"/>
      <c r="N1055" s="12"/>
      <c r="O1055" s="12"/>
      <c r="P1055" s="12"/>
      <c r="Q1055" s="12"/>
      <c r="R1055" s="12"/>
      <c r="S1055" s="12"/>
      <c r="T1055" s="12">
        <v>225.42</v>
      </c>
      <c r="U1055" s="12"/>
      <c r="V1055" s="12"/>
      <c r="W1055" s="12"/>
      <c r="X1055" s="12"/>
      <c r="Y1055" s="12">
        <f t="shared" si="19"/>
        <v>225.42</v>
      </c>
    </row>
    <row r="1056" spans="1:25" ht="15">
      <c r="A1056">
        <v>2013</v>
      </c>
      <c r="B1056" t="s">
        <v>573</v>
      </c>
      <c r="C1056" t="s">
        <v>7</v>
      </c>
      <c r="D1056" t="s">
        <v>7</v>
      </c>
      <c r="E1056" t="s">
        <v>29</v>
      </c>
      <c r="F1056" t="s">
        <v>94</v>
      </c>
      <c r="G1056" t="s">
        <v>439</v>
      </c>
      <c r="H1056" t="s">
        <v>29</v>
      </c>
      <c r="I1056" t="s">
        <v>29</v>
      </c>
      <c r="J1056" t="s">
        <v>95</v>
      </c>
      <c r="K1056"/>
      <c r="L1056"/>
      <c r="M1056" s="12">
        <v>415.17</v>
      </c>
      <c r="N1056" s="12">
        <v>250.71</v>
      </c>
      <c r="O1056" s="12">
        <v>274.04000000000002</v>
      </c>
      <c r="P1056" s="12">
        <v>595.24</v>
      </c>
      <c r="Q1056" s="12">
        <v>379.84</v>
      </c>
      <c r="R1056" s="12">
        <v>373.86</v>
      </c>
      <c r="S1056" s="12"/>
      <c r="T1056" s="12">
        <v>301.88</v>
      </c>
      <c r="U1056" s="12">
        <v>399.54</v>
      </c>
      <c r="V1056" s="12">
        <v>353.41</v>
      </c>
      <c r="W1056" s="12">
        <v>300</v>
      </c>
      <c r="X1056" s="12">
        <v>300</v>
      </c>
      <c r="Y1056" s="12">
        <f t="shared" si="19"/>
        <v>3943.69</v>
      </c>
    </row>
    <row r="1057" spans="1:25" ht="15">
      <c r="A1057">
        <v>2013</v>
      </c>
      <c r="B1057" t="s">
        <v>573</v>
      </c>
      <c r="C1057" t="s">
        <v>7</v>
      </c>
      <c r="D1057" t="s">
        <v>7</v>
      </c>
      <c r="E1057" t="s">
        <v>29</v>
      </c>
      <c r="F1057" t="s">
        <v>94</v>
      </c>
      <c r="G1057" t="s">
        <v>439</v>
      </c>
      <c r="H1057" t="s">
        <v>29</v>
      </c>
      <c r="I1057" t="s">
        <v>29</v>
      </c>
      <c r="J1057" t="s">
        <v>31</v>
      </c>
      <c r="K1057"/>
      <c r="L1057"/>
      <c r="M1057" s="12"/>
      <c r="N1057" s="12">
        <v>180</v>
      </c>
      <c r="O1057" s="12"/>
      <c r="P1057" s="12"/>
      <c r="Q1057" s="12">
        <v>436.81</v>
      </c>
      <c r="R1057" s="12"/>
      <c r="S1057" s="12">
        <v>380.28</v>
      </c>
      <c r="T1057" s="12">
        <v>4497.21</v>
      </c>
      <c r="U1057" s="12">
        <v>200</v>
      </c>
      <c r="V1057" s="12">
        <v>3000</v>
      </c>
      <c r="W1057" s="12">
        <v>2000</v>
      </c>
      <c r="X1057" s="12"/>
      <c r="Y1057" s="12">
        <f t="shared" si="19"/>
        <v>10694.3</v>
      </c>
    </row>
    <row r="1058" spans="1:25" ht="15">
      <c r="A1058">
        <v>2013</v>
      </c>
      <c r="B1058" t="s">
        <v>573</v>
      </c>
      <c r="C1058" t="s">
        <v>7</v>
      </c>
      <c r="D1058" t="s">
        <v>7</v>
      </c>
      <c r="E1058" t="s">
        <v>29</v>
      </c>
      <c r="F1058" t="s">
        <v>94</v>
      </c>
      <c r="G1058" t="s">
        <v>439</v>
      </c>
      <c r="H1058" t="s">
        <v>29</v>
      </c>
      <c r="I1058" t="s">
        <v>29</v>
      </c>
      <c r="J1058" t="s">
        <v>584</v>
      </c>
      <c r="K1058"/>
      <c r="L1058"/>
      <c r="M1058" s="12"/>
      <c r="N1058" s="12"/>
      <c r="O1058" s="12"/>
      <c r="P1058" s="12"/>
      <c r="Q1058" s="12"/>
      <c r="R1058" s="12">
        <v>139</v>
      </c>
      <c r="S1058" s="12">
        <v>88</v>
      </c>
      <c r="T1058" s="12"/>
      <c r="U1058" s="12"/>
      <c r="V1058" s="12"/>
      <c r="W1058" s="12"/>
      <c r="X1058" s="12"/>
      <c r="Y1058" s="12">
        <f t="shared" si="19"/>
        <v>227</v>
      </c>
    </row>
    <row r="1059" spans="1:25" ht="15">
      <c r="A1059">
        <v>2013</v>
      </c>
      <c r="B1059" t="s">
        <v>573</v>
      </c>
      <c r="C1059" t="s">
        <v>7</v>
      </c>
      <c r="D1059" t="s">
        <v>7</v>
      </c>
      <c r="E1059" t="s">
        <v>29</v>
      </c>
      <c r="F1059" t="s">
        <v>94</v>
      </c>
      <c r="G1059" t="s">
        <v>439</v>
      </c>
      <c r="H1059" t="s">
        <v>29</v>
      </c>
      <c r="I1059" t="s">
        <v>29</v>
      </c>
      <c r="J1059" t="s">
        <v>30</v>
      </c>
      <c r="K1059"/>
      <c r="L1059"/>
      <c r="M1059" s="12">
        <v>1508.66</v>
      </c>
      <c r="N1059" s="12">
        <v>700</v>
      </c>
      <c r="O1059" s="12">
        <v>466.11</v>
      </c>
      <c r="P1059" s="12">
        <v>700</v>
      </c>
      <c r="Q1059" s="12">
        <v>1441.75</v>
      </c>
      <c r="R1059" s="12">
        <v>497.16</v>
      </c>
      <c r="S1059" s="12">
        <v>491.92</v>
      </c>
      <c r="T1059" s="12"/>
      <c r="U1059" s="12">
        <v>700</v>
      </c>
      <c r="V1059" s="12"/>
      <c r="W1059" s="12"/>
      <c r="X1059" s="12">
        <v>9300</v>
      </c>
      <c r="Y1059" s="12">
        <f t="shared" si="19"/>
        <v>15805.6</v>
      </c>
    </row>
    <row r="1060" spans="1:25" ht="15">
      <c r="A1060">
        <v>2013</v>
      </c>
      <c r="B1060" t="s">
        <v>573</v>
      </c>
      <c r="C1060" t="s">
        <v>7</v>
      </c>
      <c r="D1060" t="s">
        <v>7</v>
      </c>
      <c r="E1060" t="s">
        <v>29</v>
      </c>
      <c r="F1060" t="s">
        <v>260</v>
      </c>
      <c r="G1060" t="s">
        <v>439</v>
      </c>
      <c r="H1060" t="s">
        <v>29</v>
      </c>
      <c r="I1060" t="s">
        <v>29</v>
      </c>
      <c r="J1060" t="s">
        <v>95</v>
      </c>
      <c r="K1060"/>
      <c r="L1060"/>
      <c r="M1060" s="12">
        <v>672.44</v>
      </c>
      <c r="N1060" s="12">
        <v>848.81</v>
      </c>
      <c r="O1060" s="12">
        <v>753.69</v>
      </c>
      <c r="P1060" s="12">
        <v>504.83</v>
      </c>
      <c r="Q1060" s="12">
        <v>1295.94</v>
      </c>
      <c r="R1060" s="12">
        <v>1075.54</v>
      </c>
      <c r="S1060" s="12">
        <v>1121.56</v>
      </c>
      <c r="T1060" s="12">
        <v>455.46</v>
      </c>
      <c r="U1060" s="12">
        <v>1026.57</v>
      </c>
      <c r="V1060" s="12">
        <v>880.6</v>
      </c>
      <c r="W1060" s="12">
        <v>1000</v>
      </c>
      <c r="X1060" s="12">
        <v>1000</v>
      </c>
      <c r="Y1060" s="12">
        <f t="shared" si="19"/>
        <v>10635.439999999999</v>
      </c>
    </row>
    <row r="1061" spans="1:25" ht="15">
      <c r="A1061">
        <v>2013</v>
      </c>
      <c r="B1061" t="s">
        <v>573</v>
      </c>
      <c r="C1061" t="s">
        <v>7</v>
      </c>
      <c r="D1061" t="s">
        <v>7</v>
      </c>
      <c r="E1061" t="s">
        <v>29</v>
      </c>
      <c r="F1061" t="s">
        <v>260</v>
      </c>
      <c r="G1061" t="s">
        <v>439</v>
      </c>
      <c r="H1061" t="s">
        <v>29</v>
      </c>
      <c r="I1061" t="s">
        <v>29</v>
      </c>
      <c r="J1061" t="s">
        <v>31</v>
      </c>
      <c r="K1061"/>
      <c r="L1061"/>
      <c r="M1061" s="12">
        <v>400</v>
      </c>
      <c r="N1061" s="12">
        <v>400</v>
      </c>
      <c r="O1061" s="12">
        <v>400</v>
      </c>
      <c r="P1061" s="12">
        <v>400</v>
      </c>
      <c r="Q1061" s="12"/>
      <c r="R1061" s="12">
        <v>800</v>
      </c>
      <c r="S1061" s="12">
        <v>1320</v>
      </c>
      <c r="T1061" s="12">
        <v>1100</v>
      </c>
      <c r="U1061" s="12">
        <v>1100</v>
      </c>
      <c r="V1061" s="12">
        <v>1100</v>
      </c>
      <c r="W1061" s="12">
        <v>1100</v>
      </c>
      <c r="X1061" s="12">
        <v>1100</v>
      </c>
      <c r="Y1061" s="12">
        <f t="shared" si="19"/>
        <v>9220</v>
      </c>
    </row>
    <row r="1062" spans="1:25" ht="15">
      <c r="A1062">
        <v>2013</v>
      </c>
      <c r="B1062" t="s">
        <v>573</v>
      </c>
      <c r="C1062" t="s">
        <v>7</v>
      </c>
      <c r="D1062" t="s">
        <v>7</v>
      </c>
      <c r="E1062" t="s">
        <v>29</v>
      </c>
      <c r="F1062" t="s">
        <v>260</v>
      </c>
      <c r="G1062" t="s">
        <v>439</v>
      </c>
      <c r="H1062" t="s">
        <v>29</v>
      </c>
      <c r="I1062" t="s">
        <v>29</v>
      </c>
      <c r="J1062" t="s">
        <v>30</v>
      </c>
      <c r="K1062"/>
      <c r="L1062"/>
      <c r="M1062" s="12"/>
      <c r="N1062" s="12"/>
      <c r="O1062" s="12"/>
      <c r="P1062" s="12"/>
      <c r="Q1062" s="12"/>
      <c r="R1062" s="12">
        <v>336</v>
      </c>
      <c r="S1062" s="12"/>
      <c r="T1062" s="12"/>
      <c r="U1062" s="12"/>
      <c r="V1062" s="12"/>
      <c r="W1062" s="12"/>
      <c r="X1062" s="12"/>
      <c r="Y1062" s="12">
        <f t="shared" si="19"/>
        <v>336</v>
      </c>
    </row>
    <row r="1063" spans="1:25" ht="15">
      <c r="A1063">
        <v>2013</v>
      </c>
      <c r="B1063" t="s">
        <v>573</v>
      </c>
      <c r="C1063" t="s">
        <v>7</v>
      </c>
      <c r="D1063" t="s">
        <v>7</v>
      </c>
      <c r="E1063" t="s">
        <v>29</v>
      </c>
      <c r="F1063" t="s">
        <v>8</v>
      </c>
      <c r="G1063" t="s">
        <v>439</v>
      </c>
      <c r="H1063" t="s">
        <v>29</v>
      </c>
      <c r="I1063" t="s">
        <v>29</v>
      </c>
      <c r="J1063" t="s">
        <v>31</v>
      </c>
      <c r="K1063"/>
      <c r="L1063"/>
      <c r="M1063" s="12"/>
      <c r="N1063" s="12"/>
      <c r="O1063" s="12"/>
      <c r="P1063" s="12">
        <v>173</v>
      </c>
      <c r="Q1063" s="12"/>
      <c r="R1063" s="12"/>
      <c r="S1063" s="12"/>
      <c r="T1063" s="12"/>
      <c r="U1063" s="12"/>
      <c r="V1063" s="12"/>
      <c r="W1063" s="12"/>
      <c r="X1063" s="12"/>
      <c r="Y1063" s="12">
        <f t="shared" si="19"/>
        <v>173</v>
      </c>
    </row>
    <row r="1064" spans="1:25" ht="15">
      <c r="A1064">
        <v>2013</v>
      </c>
      <c r="B1064" t="s">
        <v>573</v>
      </c>
      <c r="C1064" t="s">
        <v>7</v>
      </c>
      <c r="D1064" t="s">
        <v>7</v>
      </c>
      <c r="E1064" t="s">
        <v>29</v>
      </c>
      <c r="F1064" t="s">
        <v>166</v>
      </c>
      <c r="G1064" t="s">
        <v>439</v>
      </c>
      <c r="H1064" t="s">
        <v>29</v>
      </c>
      <c r="I1064" t="s">
        <v>29</v>
      </c>
      <c r="J1064" t="s">
        <v>95</v>
      </c>
      <c r="K1064"/>
      <c r="L1064"/>
      <c r="M1064" s="12"/>
      <c r="N1064" s="12"/>
      <c r="O1064" s="12"/>
      <c r="P1064" s="12"/>
      <c r="Q1064" s="12"/>
      <c r="R1064" s="12"/>
      <c r="S1064" s="12">
        <v>700</v>
      </c>
      <c r="T1064" s="12"/>
      <c r="U1064" s="12"/>
      <c r="V1064" s="12"/>
      <c r="W1064" s="12"/>
      <c r="X1064" s="12"/>
      <c r="Y1064" s="12">
        <f t="shared" si="19"/>
        <v>700</v>
      </c>
    </row>
    <row r="1065" spans="1:25" ht="15">
      <c r="A1065">
        <v>2013</v>
      </c>
      <c r="B1065" t="s">
        <v>573</v>
      </c>
      <c r="C1065" t="s">
        <v>7</v>
      </c>
      <c r="D1065" t="s">
        <v>7</v>
      </c>
      <c r="E1065" t="s">
        <v>29</v>
      </c>
      <c r="F1065" t="s">
        <v>166</v>
      </c>
      <c r="G1065" t="s">
        <v>439</v>
      </c>
      <c r="H1065" t="s">
        <v>29</v>
      </c>
      <c r="I1065" t="s">
        <v>29</v>
      </c>
      <c r="J1065" t="s">
        <v>332</v>
      </c>
      <c r="K1065"/>
      <c r="L1065"/>
      <c r="M1065" s="12">
        <v>6474</v>
      </c>
      <c r="N1065" s="12">
        <v>2120</v>
      </c>
      <c r="O1065" s="12">
        <v>5516</v>
      </c>
      <c r="P1065" s="12">
        <v>3200</v>
      </c>
      <c r="Q1065" s="12"/>
      <c r="R1065" s="12"/>
      <c r="S1065" s="12"/>
      <c r="T1065" s="12"/>
      <c r="U1065" s="12"/>
      <c r="V1065" s="12">
        <v>2000</v>
      </c>
      <c r="W1065" s="12">
        <v>4000</v>
      </c>
      <c r="X1065" s="12">
        <v>4000</v>
      </c>
      <c r="Y1065" s="12">
        <f t="shared" si="19"/>
        <v>27310</v>
      </c>
    </row>
    <row r="1066" spans="1:25" ht="15">
      <c r="A1066">
        <v>2013</v>
      </c>
      <c r="B1066" t="s">
        <v>573</v>
      </c>
      <c r="C1066" t="s">
        <v>7</v>
      </c>
      <c r="D1066" t="s">
        <v>7</v>
      </c>
      <c r="E1066" t="s">
        <v>29</v>
      </c>
      <c r="F1066" t="s">
        <v>166</v>
      </c>
      <c r="G1066" t="s">
        <v>439</v>
      </c>
      <c r="H1066" t="s">
        <v>29</v>
      </c>
      <c r="I1066" t="s">
        <v>29</v>
      </c>
      <c r="J1066" t="s">
        <v>31</v>
      </c>
      <c r="K1066"/>
      <c r="L1066"/>
      <c r="M1066" s="12">
        <v>5</v>
      </c>
      <c r="N1066" s="12">
        <v>4200</v>
      </c>
      <c r="O1066" s="12"/>
      <c r="P1066" s="12"/>
      <c r="Q1066" s="12"/>
      <c r="R1066" s="12"/>
      <c r="S1066" s="12"/>
      <c r="T1066" s="12"/>
      <c r="U1066" s="12"/>
      <c r="V1066" s="12">
        <v>18500</v>
      </c>
      <c r="W1066" s="12"/>
      <c r="X1066" s="12">
        <v>268750</v>
      </c>
      <c r="Y1066" s="12">
        <f t="shared" si="19"/>
        <v>291455</v>
      </c>
    </row>
    <row r="1067" spans="1:25" ht="15">
      <c r="A1067">
        <v>2013</v>
      </c>
      <c r="B1067" t="s">
        <v>573</v>
      </c>
      <c r="C1067" t="s">
        <v>7</v>
      </c>
      <c r="D1067" t="s">
        <v>7</v>
      </c>
      <c r="E1067" t="s">
        <v>29</v>
      </c>
      <c r="F1067" t="s">
        <v>166</v>
      </c>
      <c r="G1067" t="s">
        <v>439</v>
      </c>
      <c r="H1067" t="s">
        <v>29</v>
      </c>
      <c r="I1067" t="s">
        <v>29</v>
      </c>
      <c r="J1067" t="s">
        <v>584</v>
      </c>
      <c r="K1067"/>
      <c r="L1067"/>
      <c r="M1067" s="12"/>
      <c r="N1067" s="12">
        <v>3221.42</v>
      </c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>
        <f t="shared" si="19"/>
        <v>3221.42</v>
      </c>
    </row>
    <row r="1068" spans="1:25" ht="15">
      <c r="A1068">
        <v>2013</v>
      </c>
      <c r="B1068" t="s">
        <v>573</v>
      </c>
      <c r="C1068" t="s">
        <v>7</v>
      </c>
      <c r="D1068" t="s">
        <v>7</v>
      </c>
      <c r="E1068" t="s">
        <v>29</v>
      </c>
      <c r="F1068" t="s">
        <v>208</v>
      </c>
      <c r="G1068" t="s">
        <v>439</v>
      </c>
      <c r="H1068" t="s">
        <v>29</v>
      </c>
      <c r="I1068" t="s">
        <v>29</v>
      </c>
      <c r="J1068" t="s">
        <v>95</v>
      </c>
      <c r="K1068"/>
      <c r="L1068"/>
      <c r="M1068" s="12"/>
      <c r="N1068" s="12"/>
      <c r="O1068" s="12">
        <v>80.92</v>
      </c>
      <c r="P1068" s="12"/>
      <c r="Q1068" s="12"/>
      <c r="R1068" s="12"/>
      <c r="S1068" s="12"/>
      <c r="T1068" s="12"/>
      <c r="U1068" s="12"/>
      <c r="V1068" s="12"/>
      <c r="W1068" s="12"/>
      <c r="X1068" s="12"/>
      <c r="Y1068" s="12">
        <f t="shared" si="19"/>
        <v>80.92</v>
      </c>
    </row>
    <row r="1069" spans="1:25" ht="15">
      <c r="A1069">
        <v>2013</v>
      </c>
      <c r="B1069" t="s">
        <v>573</v>
      </c>
      <c r="C1069" t="s">
        <v>7</v>
      </c>
      <c r="D1069" t="s">
        <v>7</v>
      </c>
      <c r="E1069" t="s">
        <v>29</v>
      </c>
      <c r="F1069" t="s">
        <v>208</v>
      </c>
      <c r="G1069" t="s">
        <v>439</v>
      </c>
      <c r="H1069" t="s">
        <v>29</v>
      </c>
      <c r="I1069" t="s">
        <v>29</v>
      </c>
      <c r="J1069" t="s">
        <v>31</v>
      </c>
      <c r="K1069"/>
      <c r="L1069"/>
      <c r="M1069" s="12"/>
      <c r="N1069" s="12"/>
      <c r="O1069" s="12"/>
      <c r="P1069" s="12">
        <v>13800</v>
      </c>
      <c r="Q1069" s="12"/>
      <c r="R1069" s="12"/>
      <c r="S1069" s="12"/>
      <c r="T1069" s="12"/>
      <c r="U1069" s="12"/>
      <c r="V1069" s="12"/>
      <c r="W1069" s="12"/>
      <c r="X1069" s="12"/>
      <c r="Y1069" s="12">
        <f t="shared" si="19"/>
        <v>13800</v>
      </c>
    </row>
    <row r="1070" spans="1:25" ht="15">
      <c r="A1070">
        <v>2013</v>
      </c>
      <c r="B1070" t="s">
        <v>573</v>
      </c>
      <c r="C1070" t="s">
        <v>7</v>
      </c>
      <c r="D1070" t="s">
        <v>7</v>
      </c>
      <c r="E1070" t="s">
        <v>29</v>
      </c>
      <c r="F1070" t="s">
        <v>247</v>
      </c>
      <c r="G1070" t="s">
        <v>439</v>
      </c>
      <c r="H1070" t="s">
        <v>29</v>
      </c>
      <c r="I1070" t="s">
        <v>29</v>
      </c>
      <c r="J1070" t="s">
        <v>95</v>
      </c>
      <c r="K1070"/>
      <c r="L1070"/>
      <c r="M1070" s="12"/>
      <c r="N1070" s="12"/>
      <c r="O1070" s="12"/>
      <c r="P1070" s="12"/>
      <c r="Q1070" s="12"/>
      <c r="R1070" s="12"/>
      <c r="S1070" s="12"/>
      <c r="T1070" s="12"/>
      <c r="U1070" s="12">
        <v>48.23</v>
      </c>
      <c r="V1070" s="12"/>
      <c r="W1070" s="12"/>
      <c r="X1070" s="12"/>
      <c r="Y1070" s="12">
        <f t="shared" si="19"/>
        <v>48.23</v>
      </c>
    </row>
    <row r="1071" spans="1:25" ht="15">
      <c r="A1071">
        <v>2013</v>
      </c>
      <c r="B1071" t="s">
        <v>573</v>
      </c>
      <c r="C1071" t="s">
        <v>7</v>
      </c>
      <c r="D1071" t="s">
        <v>7</v>
      </c>
      <c r="E1071" t="s">
        <v>29</v>
      </c>
      <c r="F1071" t="s">
        <v>247</v>
      </c>
      <c r="G1071" t="s">
        <v>439</v>
      </c>
      <c r="H1071" t="s">
        <v>29</v>
      </c>
      <c r="I1071" t="s">
        <v>29</v>
      </c>
      <c r="J1071" t="s">
        <v>31</v>
      </c>
      <c r="K1071"/>
      <c r="L1071"/>
      <c r="M1071" s="12">
        <v>2926</v>
      </c>
      <c r="N1071" s="12">
        <v>3915.84</v>
      </c>
      <c r="O1071" s="12">
        <v>2548.02</v>
      </c>
      <c r="P1071" s="12">
        <v>3962.72</v>
      </c>
      <c r="Q1071" s="12">
        <v>1654.64</v>
      </c>
      <c r="R1071" s="12">
        <v>3268.18</v>
      </c>
      <c r="S1071" s="12">
        <v>943.52</v>
      </c>
      <c r="T1071" s="12">
        <v>892.12</v>
      </c>
      <c r="U1071" s="12">
        <v>9015.76</v>
      </c>
      <c r="V1071" s="12">
        <v>5146.46</v>
      </c>
      <c r="W1071" s="12">
        <v>9150</v>
      </c>
      <c r="X1071" s="12">
        <v>19624</v>
      </c>
      <c r="Y1071" s="12">
        <f t="shared" si="19"/>
        <v>63047.259999999995</v>
      </c>
    </row>
    <row r="1072" spans="1:25" ht="15">
      <c r="A1072">
        <v>2013</v>
      </c>
      <c r="B1072" t="s">
        <v>573</v>
      </c>
      <c r="C1072" t="s">
        <v>7</v>
      </c>
      <c r="D1072" t="s">
        <v>7</v>
      </c>
      <c r="E1072" t="s">
        <v>29</v>
      </c>
      <c r="F1072" t="s">
        <v>247</v>
      </c>
      <c r="G1072" t="s">
        <v>439</v>
      </c>
      <c r="H1072" t="s">
        <v>29</v>
      </c>
      <c r="I1072" t="s">
        <v>29</v>
      </c>
      <c r="J1072" t="s">
        <v>250</v>
      </c>
      <c r="K1072"/>
      <c r="L1072"/>
      <c r="M1072" s="12">
        <v>3070</v>
      </c>
      <c r="N1072" s="12">
        <v>4021.4</v>
      </c>
      <c r="O1072" s="12">
        <v>1550</v>
      </c>
      <c r="P1072" s="12">
        <v>270</v>
      </c>
      <c r="Q1072" s="12">
        <v>400</v>
      </c>
      <c r="R1072" s="12">
        <v>6337.06</v>
      </c>
      <c r="S1072" s="12">
        <v>523</v>
      </c>
      <c r="T1072" s="12">
        <v>4762.83</v>
      </c>
      <c r="U1072" s="12">
        <v>500</v>
      </c>
      <c r="V1072" s="12"/>
      <c r="W1072" s="12">
        <v>5500</v>
      </c>
      <c r="X1072" s="12">
        <v>5500</v>
      </c>
      <c r="Y1072" s="12">
        <f t="shared" si="19"/>
        <v>32434.29</v>
      </c>
    </row>
    <row r="1073" spans="1:25" ht="15">
      <c r="A1073">
        <v>2013</v>
      </c>
      <c r="B1073" t="s">
        <v>573</v>
      </c>
      <c r="C1073" t="s">
        <v>7</v>
      </c>
      <c r="D1073" t="s">
        <v>7</v>
      </c>
      <c r="E1073" t="s">
        <v>89</v>
      </c>
      <c r="F1073" t="s">
        <v>220</v>
      </c>
      <c r="G1073" t="s">
        <v>439</v>
      </c>
      <c r="H1073" t="s">
        <v>89</v>
      </c>
      <c r="I1073" t="s">
        <v>90</v>
      </c>
      <c r="J1073" t="s">
        <v>585</v>
      </c>
      <c r="K1073"/>
      <c r="L1073"/>
      <c r="M1073" s="12"/>
      <c r="N1073" s="12"/>
      <c r="O1073" s="12"/>
      <c r="P1073" s="12"/>
      <c r="Q1073" s="12">
        <v>4752</v>
      </c>
      <c r="R1073" s="12"/>
      <c r="S1073" s="12"/>
      <c r="T1073" s="12"/>
      <c r="U1073" s="12"/>
      <c r="V1073" s="12"/>
      <c r="W1073" s="12"/>
      <c r="X1073" s="12"/>
      <c r="Y1073" s="12">
        <f t="shared" si="19"/>
        <v>4752</v>
      </c>
    </row>
    <row r="1074" spans="1:25" ht="15">
      <c r="A1074">
        <v>2013</v>
      </c>
      <c r="B1074" t="s">
        <v>573</v>
      </c>
      <c r="C1074" t="s">
        <v>7</v>
      </c>
      <c r="D1074" t="s">
        <v>7</v>
      </c>
      <c r="E1074" t="s">
        <v>89</v>
      </c>
      <c r="F1074" t="s">
        <v>220</v>
      </c>
      <c r="G1074" t="s">
        <v>439</v>
      </c>
      <c r="H1074" t="s">
        <v>89</v>
      </c>
      <c r="I1074" t="s">
        <v>90</v>
      </c>
      <c r="J1074" t="s">
        <v>90</v>
      </c>
      <c r="K1074"/>
      <c r="L1074"/>
      <c r="M1074" s="12"/>
      <c r="N1074" s="12"/>
      <c r="O1074" s="12"/>
      <c r="P1074" s="12"/>
      <c r="Q1074" s="12"/>
      <c r="R1074" s="12"/>
      <c r="S1074" s="12"/>
      <c r="T1074" s="12">
        <v>800</v>
      </c>
      <c r="U1074" s="12"/>
      <c r="V1074" s="12"/>
      <c r="W1074" s="12"/>
      <c r="X1074" s="12"/>
      <c r="Y1074" s="12">
        <f t="shared" si="19"/>
        <v>800</v>
      </c>
    </row>
    <row r="1075" spans="1:25" ht="15">
      <c r="A1075">
        <v>2013</v>
      </c>
      <c r="B1075" t="s">
        <v>573</v>
      </c>
      <c r="C1075" t="s">
        <v>7</v>
      </c>
      <c r="D1075" t="s">
        <v>7</v>
      </c>
      <c r="E1075" t="s">
        <v>89</v>
      </c>
      <c r="F1075" t="s">
        <v>234</v>
      </c>
      <c r="G1075" t="s">
        <v>439</v>
      </c>
      <c r="H1075" t="s">
        <v>89</v>
      </c>
      <c r="I1075" t="s">
        <v>90</v>
      </c>
      <c r="J1075" t="s">
        <v>90</v>
      </c>
      <c r="K1075"/>
      <c r="L1075"/>
      <c r="M1075" s="12"/>
      <c r="N1075" s="12"/>
      <c r="O1075" s="12"/>
      <c r="P1075" s="12">
        <v>221126.28</v>
      </c>
      <c r="Q1075" s="12">
        <v>4947</v>
      </c>
      <c r="R1075" s="12">
        <v>223839.91</v>
      </c>
      <c r="S1075" s="12">
        <v>1574</v>
      </c>
      <c r="T1075" s="12">
        <v>12812.26</v>
      </c>
      <c r="U1075" s="12">
        <v>368.5</v>
      </c>
      <c r="V1075" s="12">
        <v>534.61</v>
      </c>
      <c r="W1075" s="12"/>
      <c r="X1075" s="12">
        <v>200</v>
      </c>
      <c r="Y1075" s="12">
        <f t="shared" si="19"/>
        <v>465402.56</v>
      </c>
    </row>
    <row r="1076" spans="1:25" ht="15">
      <c r="A1076">
        <v>2013</v>
      </c>
      <c r="B1076" t="s">
        <v>573</v>
      </c>
      <c r="C1076" t="s">
        <v>7</v>
      </c>
      <c r="D1076" t="s">
        <v>7</v>
      </c>
      <c r="E1076" t="s">
        <v>89</v>
      </c>
      <c r="F1076" t="s">
        <v>237</v>
      </c>
      <c r="G1076" t="s">
        <v>439</v>
      </c>
      <c r="H1076" t="s">
        <v>89</v>
      </c>
      <c r="I1076" t="s">
        <v>90</v>
      </c>
      <c r="J1076" t="s">
        <v>90</v>
      </c>
      <c r="K1076"/>
      <c r="L1076"/>
      <c r="M1076" s="12"/>
      <c r="N1076" s="12"/>
      <c r="O1076" s="12"/>
      <c r="P1076" s="12"/>
      <c r="Q1076" s="12">
        <v>4373.1000000000004</v>
      </c>
      <c r="R1076" s="12">
        <v>627</v>
      </c>
      <c r="S1076" s="12"/>
      <c r="T1076" s="12"/>
      <c r="U1076" s="12"/>
      <c r="V1076" s="12"/>
      <c r="W1076" s="12"/>
      <c r="X1076" s="12"/>
      <c r="Y1076" s="12">
        <f t="shared" si="19"/>
        <v>5000.1000000000004</v>
      </c>
    </row>
    <row r="1077" spans="1:25" ht="15">
      <c r="A1077">
        <v>2013</v>
      </c>
      <c r="B1077" t="s">
        <v>573</v>
      </c>
      <c r="C1077" t="s">
        <v>7</v>
      </c>
      <c r="D1077" t="s">
        <v>7</v>
      </c>
      <c r="E1077" t="s">
        <v>89</v>
      </c>
      <c r="F1077" t="s">
        <v>260</v>
      </c>
      <c r="G1077" t="s">
        <v>439</v>
      </c>
      <c r="H1077" t="s">
        <v>89</v>
      </c>
      <c r="I1077" t="s">
        <v>90</v>
      </c>
      <c r="J1077" t="s">
        <v>90</v>
      </c>
      <c r="K1077"/>
      <c r="L1077"/>
      <c r="M1077" s="12"/>
      <c r="N1077" s="12"/>
      <c r="O1077" s="12"/>
      <c r="P1077" s="12"/>
      <c r="Q1077" s="12">
        <v>1319.47</v>
      </c>
      <c r="R1077" s="12"/>
      <c r="S1077" s="12"/>
      <c r="T1077" s="12"/>
      <c r="U1077" s="12"/>
      <c r="V1077" s="12"/>
      <c r="W1077" s="12"/>
      <c r="X1077" s="12"/>
      <c r="Y1077" s="12">
        <f t="shared" si="19"/>
        <v>1319.47</v>
      </c>
    </row>
    <row r="1078" spans="1:25" ht="15">
      <c r="A1078">
        <v>2013</v>
      </c>
      <c r="B1078" t="s">
        <v>573</v>
      </c>
      <c r="C1078" t="s">
        <v>32</v>
      </c>
      <c r="D1078" t="s">
        <v>32</v>
      </c>
      <c r="E1078" t="s">
        <v>89</v>
      </c>
      <c r="F1078" t="s">
        <v>208</v>
      </c>
      <c r="G1078" t="s">
        <v>245</v>
      </c>
      <c r="H1078" t="s">
        <v>89</v>
      </c>
      <c r="I1078" t="s">
        <v>90</v>
      </c>
      <c r="J1078" t="s">
        <v>90</v>
      </c>
      <c r="K1078"/>
      <c r="L1078"/>
      <c r="M1078" s="12"/>
      <c r="N1078" s="12"/>
      <c r="O1078" s="12"/>
      <c r="P1078" s="12"/>
      <c r="Q1078" s="12"/>
      <c r="R1078" s="12">
        <v>14346.18</v>
      </c>
      <c r="S1078" s="12"/>
      <c r="T1078" s="12"/>
      <c r="U1078" s="12"/>
      <c r="V1078" s="12"/>
      <c r="W1078" s="12"/>
      <c r="X1078" s="12"/>
      <c r="Y1078" s="12">
        <f t="shared" si="19"/>
        <v>14346.18</v>
      </c>
    </row>
    <row r="1079" spans="1:25" ht="15">
      <c r="A1079">
        <v>2013</v>
      </c>
      <c r="B1079" t="s">
        <v>573</v>
      </c>
      <c r="C1079" t="s">
        <v>32</v>
      </c>
      <c r="D1079" t="s">
        <v>32</v>
      </c>
      <c r="E1079" t="s">
        <v>89</v>
      </c>
      <c r="F1079" t="s">
        <v>208</v>
      </c>
      <c r="G1079" t="s">
        <v>245</v>
      </c>
      <c r="H1079" t="s">
        <v>89</v>
      </c>
      <c r="I1079" t="s">
        <v>210</v>
      </c>
      <c r="J1079" t="s">
        <v>211</v>
      </c>
      <c r="K1079"/>
      <c r="L1079"/>
      <c r="M1079" s="12"/>
      <c r="N1079" s="12"/>
      <c r="O1079" s="12"/>
      <c r="P1079" s="12"/>
      <c r="Q1079" s="12"/>
      <c r="R1079" s="12"/>
      <c r="S1079" s="12">
        <v>22456.080000000002</v>
      </c>
      <c r="T1079" s="12"/>
      <c r="U1079" s="12"/>
      <c r="V1079" s="12"/>
      <c r="W1079" s="12"/>
      <c r="X1079" s="12"/>
      <c r="Y1079" s="12">
        <f t="shared" si="19"/>
        <v>22456.080000000002</v>
      </c>
    </row>
    <row r="1080" spans="1:25" ht="15">
      <c r="A1080">
        <v>2013</v>
      </c>
      <c r="B1080" t="s">
        <v>573</v>
      </c>
      <c r="C1080" t="s">
        <v>32</v>
      </c>
      <c r="D1080" t="s">
        <v>32</v>
      </c>
      <c r="E1080" t="s">
        <v>89</v>
      </c>
      <c r="F1080" t="s">
        <v>208</v>
      </c>
      <c r="G1080" t="s">
        <v>245</v>
      </c>
      <c r="H1080" t="s">
        <v>89</v>
      </c>
      <c r="I1080" t="s">
        <v>90</v>
      </c>
      <c r="J1080" t="s">
        <v>90</v>
      </c>
      <c r="K1080"/>
      <c r="L1080"/>
      <c r="M1080" s="12"/>
      <c r="N1080" s="12"/>
      <c r="O1080" s="12"/>
      <c r="P1080" s="12"/>
      <c r="Q1080" s="12"/>
      <c r="R1080" s="12"/>
      <c r="S1080" s="12"/>
      <c r="T1080" s="12">
        <v>1035</v>
      </c>
      <c r="U1080" s="12"/>
      <c r="V1080" s="12"/>
      <c r="W1080" s="12"/>
      <c r="X1080" s="12"/>
      <c r="Y1080" s="12">
        <f t="shared" si="19"/>
        <v>1035</v>
      </c>
    </row>
    <row r="1081" spans="1:25" ht="15">
      <c r="A1081">
        <v>2013</v>
      </c>
      <c r="B1081" t="s">
        <v>573</v>
      </c>
      <c r="C1081" t="s">
        <v>32</v>
      </c>
      <c r="D1081" t="s">
        <v>32</v>
      </c>
      <c r="E1081" t="s">
        <v>89</v>
      </c>
      <c r="F1081" t="s">
        <v>208</v>
      </c>
      <c r="G1081" t="s">
        <v>245</v>
      </c>
      <c r="H1081" t="s">
        <v>89</v>
      </c>
      <c r="I1081" t="s">
        <v>210</v>
      </c>
      <c r="J1081" t="s">
        <v>211</v>
      </c>
      <c r="K1081"/>
      <c r="L1081"/>
      <c r="M1081" s="12">
        <v>29890.959999999999</v>
      </c>
      <c r="N1081" s="12">
        <v>84934.44</v>
      </c>
      <c r="O1081" s="12">
        <v>3351.59</v>
      </c>
      <c r="P1081" s="12">
        <v>4228.99</v>
      </c>
      <c r="Q1081" s="12">
        <v>9984</v>
      </c>
      <c r="R1081" s="12"/>
      <c r="S1081" s="12"/>
      <c r="T1081" s="12">
        <v>32198.38</v>
      </c>
      <c r="U1081" s="12"/>
      <c r="V1081" s="12"/>
      <c r="W1081" s="12"/>
      <c r="X1081" s="12"/>
      <c r="Y1081" s="12">
        <f t="shared" si="19"/>
        <v>164588.35999999999</v>
      </c>
    </row>
    <row r="1082" spans="1:25" ht="15">
      <c r="A1082">
        <v>2013</v>
      </c>
      <c r="B1082" t="s">
        <v>573</v>
      </c>
      <c r="C1082" t="s">
        <v>7</v>
      </c>
      <c r="D1082" t="s">
        <v>7</v>
      </c>
      <c r="E1082" t="s">
        <v>12</v>
      </c>
      <c r="F1082" t="s">
        <v>586</v>
      </c>
      <c r="G1082" t="s">
        <v>439</v>
      </c>
      <c r="H1082" t="s">
        <v>12</v>
      </c>
      <c r="I1082" t="s">
        <v>12</v>
      </c>
      <c r="J1082" t="s">
        <v>13</v>
      </c>
      <c r="K1082"/>
      <c r="L1082"/>
      <c r="M1082" s="12">
        <v>276.87</v>
      </c>
      <c r="N1082" s="12">
        <v>282.45</v>
      </c>
      <c r="O1082" s="12">
        <v>257.08</v>
      </c>
      <c r="P1082" s="12">
        <v>290.39</v>
      </c>
      <c r="Q1082" s="12">
        <v>307.14999999999998</v>
      </c>
      <c r="R1082" s="12">
        <v>471.9</v>
      </c>
      <c r="S1082" s="12">
        <v>621.75</v>
      </c>
      <c r="T1082" s="12">
        <v>237.56</v>
      </c>
      <c r="U1082" s="12">
        <v>147.57</v>
      </c>
      <c r="V1082" s="12"/>
      <c r="W1082" s="12"/>
      <c r="X1082" s="12"/>
      <c r="Y1082" s="12">
        <f t="shared" si="19"/>
        <v>2892.7200000000003</v>
      </c>
    </row>
    <row r="1083" spans="1:25" ht="15">
      <c r="A1083">
        <v>2013</v>
      </c>
      <c r="B1083" t="s">
        <v>573</v>
      </c>
      <c r="C1083" t="s">
        <v>7</v>
      </c>
      <c r="D1083" t="s">
        <v>7</v>
      </c>
      <c r="E1083" t="s">
        <v>12</v>
      </c>
      <c r="F1083" t="s">
        <v>78</v>
      </c>
      <c r="G1083" t="s">
        <v>439</v>
      </c>
      <c r="H1083" t="s">
        <v>12</v>
      </c>
      <c r="I1083" t="s">
        <v>12</v>
      </c>
      <c r="J1083" t="s">
        <v>13</v>
      </c>
      <c r="K1083"/>
      <c r="L1083"/>
      <c r="M1083" s="12"/>
      <c r="N1083" s="12">
        <v>76.239999999999995</v>
      </c>
      <c r="O1083" s="12">
        <v>163.29</v>
      </c>
      <c r="P1083" s="12">
        <v>73.930000000000007</v>
      </c>
      <c r="Q1083" s="12">
        <v>88.55</v>
      </c>
      <c r="R1083" s="12">
        <v>70.83</v>
      </c>
      <c r="S1083" s="12">
        <v>70.06</v>
      </c>
      <c r="T1083" s="12">
        <v>56.55</v>
      </c>
      <c r="U1083" s="12">
        <v>71.12</v>
      </c>
      <c r="V1083" s="12">
        <v>73.400000000000006</v>
      </c>
      <c r="W1083" s="12">
        <v>380</v>
      </c>
      <c r="X1083" s="12"/>
      <c r="Y1083" s="12">
        <f t="shared" si="19"/>
        <v>1123.9699999999998</v>
      </c>
    </row>
    <row r="1084" spans="1:25" ht="15">
      <c r="A1084">
        <v>2013</v>
      </c>
      <c r="B1084" t="s">
        <v>573</v>
      </c>
      <c r="C1084" t="s">
        <v>7</v>
      </c>
      <c r="D1084" t="s">
        <v>7</v>
      </c>
      <c r="E1084" t="s">
        <v>12</v>
      </c>
      <c r="F1084" t="s">
        <v>85</v>
      </c>
      <c r="G1084" t="s">
        <v>439</v>
      </c>
      <c r="H1084" t="s">
        <v>12</v>
      </c>
      <c r="I1084" t="s">
        <v>12</v>
      </c>
      <c r="J1084" t="s">
        <v>13</v>
      </c>
      <c r="K1084"/>
      <c r="L1084"/>
      <c r="M1084" s="12">
        <v>340.49</v>
      </c>
      <c r="N1084" s="12">
        <v>376.75</v>
      </c>
      <c r="O1084" s="12">
        <v>232.07</v>
      </c>
      <c r="P1084" s="12">
        <v>337.51</v>
      </c>
      <c r="Q1084" s="12">
        <v>251.72</v>
      </c>
      <c r="R1084" s="12">
        <v>199.25</v>
      </c>
      <c r="S1084" s="12">
        <v>201.11</v>
      </c>
      <c r="T1084" s="12">
        <v>456.61</v>
      </c>
      <c r="U1084" s="12">
        <v>55.87</v>
      </c>
      <c r="V1084" s="12">
        <v>63.52</v>
      </c>
      <c r="W1084" s="12">
        <v>380</v>
      </c>
      <c r="X1084" s="12">
        <v>380</v>
      </c>
      <c r="Y1084" s="12">
        <f t="shared" si="19"/>
        <v>3274.9</v>
      </c>
    </row>
    <row r="1085" spans="1:25" ht="15">
      <c r="A1085">
        <v>2013</v>
      </c>
      <c r="B1085" t="s">
        <v>573</v>
      </c>
      <c r="C1085" t="s">
        <v>7</v>
      </c>
      <c r="D1085" t="s">
        <v>7</v>
      </c>
      <c r="E1085" t="s">
        <v>12</v>
      </c>
      <c r="F1085" t="s">
        <v>236</v>
      </c>
      <c r="G1085" t="s">
        <v>439</v>
      </c>
      <c r="H1085" t="s">
        <v>12</v>
      </c>
      <c r="I1085" t="s">
        <v>12</v>
      </c>
      <c r="J1085" t="s">
        <v>13</v>
      </c>
      <c r="K1085"/>
      <c r="L1085"/>
      <c r="M1085" s="12">
        <v>1368.99</v>
      </c>
      <c r="N1085" s="12">
        <v>2105.0300000000002</v>
      </c>
      <c r="O1085" s="12">
        <v>1655.02</v>
      </c>
      <c r="P1085" s="12">
        <v>1562.76</v>
      </c>
      <c r="Q1085" s="12">
        <v>1681.73</v>
      </c>
      <c r="R1085" s="12">
        <v>1704.42</v>
      </c>
      <c r="S1085" s="12">
        <v>1226.6500000000001</v>
      </c>
      <c r="T1085" s="12">
        <v>904.46</v>
      </c>
      <c r="U1085" s="12">
        <v>1304.78</v>
      </c>
      <c r="V1085" s="12">
        <v>1203</v>
      </c>
      <c r="W1085" s="12">
        <v>715</v>
      </c>
      <c r="X1085" s="12">
        <v>715</v>
      </c>
      <c r="Y1085" s="12">
        <f t="shared" si="19"/>
        <v>16146.840000000002</v>
      </c>
    </row>
    <row r="1086" spans="1:25" ht="15">
      <c r="A1086">
        <v>2013</v>
      </c>
      <c r="B1086" t="s">
        <v>573</v>
      </c>
      <c r="C1086" t="s">
        <v>7</v>
      </c>
      <c r="D1086" t="s">
        <v>7</v>
      </c>
      <c r="E1086" t="s">
        <v>12</v>
      </c>
      <c r="F1086" t="s">
        <v>220</v>
      </c>
      <c r="G1086" t="s">
        <v>439</v>
      </c>
      <c r="H1086" t="s">
        <v>12</v>
      </c>
      <c r="I1086" t="s">
        <v>12</v>
      </c>
      <c r="J1086" t="s">
        <v>134</v>
      </c>
      <c r="K1086"/>
      <c r="L1086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>
        <v>220</v>
      </c>
      <c r="X1086" s="12">
        <v>220</v>
      </c>
      <c r="Y1086" s="12">
        <f t="shared" si="19"/>
        <v>440</v>
      </c>
    </row>
    <row r="1087" spans="1:25" ht="15">
      <c r="A1087">
        <v>2013</v>
      </c>
      <c r="B1087" t="s">
        <v>573</v>
      </c>
      <c r="C1087" t="s">
        <v>7</v>
      </c>
      <c r="D1087" t="s">
        <v>7</v>
      </c>
      <c r="E1087" t="s">
        <v>12</v>
      </c>
      <c r="F1087" t="s">
        <v>220</v>
      </c>
      <c r="G1087" t="s">
        <v>439</v>
      </c>
      <c r="H1087" t="s">
        <v>12</v>
      </c>
      <c r="I1087" t="s">
        <v>12</v>
      </c>
      <c r="J1087" t="s">
        <v>13</v>
      </c>
      <c r="K1087"/>
      <c r="L1087"/>
      <c r="M1087" s="12">
        <v>1404.7</v>
      </c>
      <c r="N1087" s="12">
        <v>1340.73</v>
      </c>
      <c r="O1087" s="12">
        <v>1454.22</v>
      </c>
      <c r="P1087" s="12">
        <v>1534.95</v>
      </c>
      <c r="Q1087" s="12">
        <v>1295.22</v>
      </c>
      <c r="R1087" s="12">
        <v>3035.32</v>
      </c>
      <c r="S1087" s="12">
        <v>1419.47</v>
      </c>
      <c r="T1087" s="12">
        <v>2288.7800000000002</v>
      </c>
      <c r="U1087" s="12">
        <v>1234.51</v>
      </c>
      <c r="V1087" s="12">
        <v>1517.47</v>
      </c>
      <c r="W1087" s="12">
        <v>1140</v>
      </c>
      <c r="X1087" s="12">
        <v>1140</v>
      </c>
      <c r="Y1087" s="12">
        <f t="shared" si="19"/>
        <v>18805.370000000003</v>
      </c>
    </row>
    <row r="1088" spans="1:25" ht="15">
      <c r="A1088">
        <v>2013</v>
      </c>
      <c r="B1088" t="s">
        <v>573</v>
      </c>
      <c r="C1088" t="s">
        <v>7</v>
      </c>
      <c r="D1088" t="s">
        <v>7</v>
      </c>
      <c r="E1088" t="s">
        <v>12</v>
      </c>
      <c r="F1088" t="s">
        <v>234</v>
      </c>
      <c r="G1088" t="s">
        <v>439</v>
      </c>
      <c r="H1088" t="s">
        <v>12</v>
      </c>
      <c r="I1088" t="s">
        <v>12</v>
      </c>
      <c r="J1088" t="s">
        <v>134</v>
      </c>
      <c r="K1088"/>
      <c r="L1088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>
        <v>1100</v>
      </c>
      <c r="X1088" s="12">
        <v>1100</v>
      </c>
      <c r="Y1088" s="12">
        <f t="shared" si="19"/>
        <v>2200</v>
      </c>
    </row>
    <row r="1089" spans="1:25" ht="15">
      <c r="A1089">
        <v>2013</v>
      </c>
      <c r="B1089" t="s">
        <v>573</v>
      </c>
      <c r="C1089" t="s">
        <v>7</v>
      </c>
      <c r="D1089" t="s">
        <v>7</v>
      </c>
      <c r="E1089" t="s">
        <v>12</v>
      </c>
      <c r="F1089" t="s">
        <v>234</v>
      </c>
      <c r="G1089" t="s">
        <v>439</v>
      </c>
      <c r="H1089" t="s">
        <v>12</v>
      </c>
      <c r="I1089" t="s">
        <v>12</v>
      </c>
      <c r="J1089" t="s">
        <v>13</v>
      </c>
      <c r="K1089"/>
      <c r="L1089"/>
      <c r="M1089" s="12">
        <v>754.63</v>
      </c>
      <c r="N1089" s="12">
        <v>1937.96</v>
      </c>
      <c r="O1089" s="12">
        <v>2138.87</v>
      </c>
      <c r="P1089" s="12">
        <v>1058.57</v>
      </c>
      <c r="Q1089" s="12">
        <v>1642.85</v>
      </c>
      <c r="R1089" s="12">
        <v>1031.24</v>
      </c>
      <c r="S1089" s="12">
        <v>2079.5</v>
      </c>
      <c r="T1089" s="12">
        <v>1191.67</v>
      </c>
      <c r="U1089" s="12">
        <v>1948.53</v>
      </c>
      <c r="V1089" s="12">
        <v>1173.98</v>
      </c>
      <c r="W1089" s="12">
        <v>700</v>
      </c>
      <c r="X1089" s="12">
        <v>700</v>
      </c>
      <c r="Y1089" s="12">
        <f t="shared" si="19"/>
        <v>16357.8</v>
      </c>
    </row>
    <row r="1090" spans="1:25" ht="15">
      <c r="A1090">
        <v>2013</v>
      </c>
      <c r="B1090" t="s">
        <v>573</v>
      </c>
      <c r="C1090" t="s">
        <v>7</v>
      </c>
      <c r="D1090" t="s">
        <v>7</v>
      </c>
      <c r="E1090" t="s">
        <v>12</v>
      </c>
      <c r="F1090" t="s">
        <v>81</v>
      </c>
      <c r="G1090" t="s">
        <v>439</v>
      </c>
      <c r="H1090" t="s">
        <v>12</v>
      </c>
      <c r="I1090" t="s">
        <v>12</v>
      </c>
      <c r="J1090" t="s">
        <v>13</v>
      </c>
      <c r="K1090"/>
      <c r="L1090"/>
      <c r="M1090" s="12"/>
      <c r="N1090" s="12">
        <v>356.3</v>
      </c>
      <c r="O1090" s="12">
        <v>400.12</v>
      </c>
      <c r="P1090" s="12">
        <v>699.25</v>
      </c>
      <c r="Q1090" s="12">
        <v>691.01</v>
      </c>
      <c r="R1090" s="12">
        <v>863.52</v>
      </c>
      <c r="S1090" s="12">
        <v>1033.1099999999999</v>
      </c>
      <c r="T1090" s="12">
        <v>583.6</v>
      </c>
      <c r="U1090" s="12">
        <v>1098.1600000000001</v>
      </c>
      <c r="V1090" s="12">
        <v>1030.52</v>
      </c>
      <c r="W1090" s="12">
        <v>821</v>
      </c>
      <c r="X1090" s="12">
        <v>821</v>
      </c>
      <c r="Y1090" s="12">
        <f t="shared" si="19"/>
        <v>8397.59</v>
      </c>
    </row>
    <row r="1091" spans="1:25" ht="15">
      <c r="A1091">
        <v>2013</v>
      </c>
      <c r="B1091" t="s">
        <v>573</v>
      </c>
      <c r="C1091" t="s">
        <v>7</v>
      </c>
      <c r="D1091" t="s">
        <v>7</v>
      </c>
      <c r="E1091" t="s">
        <v>12</v>
      </c>
      <c r="F1091" t="s">
        <v>227</v>
      </c>
      <c r="G1091" t="s">
        <v>439</v>
      </c>
      <c r="H1091" t="s">
        <v>12</v>
      </c>
      <c r="I1091" t="s">
        <v>12</v>
      </c>
      <c r="J1091" t="s">
        <v>13</v>
      </c>
      <c r="K1091"/>
      <c r="L1091"/>
      <c r="M1091" s="12"/>
      <c r="N1091" s="12"/>
      <c r="O1091" s="12"/>
      <c r="P1091" s="12"/>
      <c r="Q1091" s="12"/>
      <c r="R1091" s="12">
        <v>100.99</v>
      </c>
      <c r="S1091" s="12"/>
      <c r="T1091" s="12"/>
      <c r="U1091" s="12"/>
      <c r="V1091" s="12"/>
      <c r="W1091" s="12"/>
      <c r="X1091" s="12"/>
      <c r="Y1091" s="12">
        <f t="shared" si="19"/>
        <v>100.99</v>
      </c>
    </row>
    <row r="1092" spans="1:25" ht="15">
      <c r="A1092">
        <v>2013</v>
      </c>
      <c r="B1092" t="s">
        <v>573</v>
      </c>
      <c r="C1092" t="s">
        <v>7</v>
      </c>
      <c r="D1092" t="s">
        <v>7</v>
      </c>
      <c r="E1092" t="s">
        <v>12</v>
      </c>
      <c r="F1092" t="s">
        <v>237</v>
      </c>
      <c r="G1092" t="s">
        <v>439</v>
      </c>
      <c r="H1092" t="s">
        <v>12</v>
      </c>
      <c r="I1092" t="s">
        <v>12</v>
      </c>
      <c r="J1092" t="s">
        <v>134</v>
      </c>
      <c r="K1092"/>
      <c r="L1092"/>
      <c r="M1092" s="12">
        <v>9248.2900000000009</v>
      </c>
      <c r="N1092" s="12">
        <v>11902.89</v>
      </c>
      <c r="O1092" s="12">
        <v>276.77</v>
      </c>
      <c r="P1092" s="12">
        <v>2234.7600000000002</v>
      </c>
      <c r="Q1092" s="12">
        <v>3456.64</v>
      </c>
      <c r="R1092" s="12">
        <v>15619.68</v>
      </c>
      <c r="S1092" s="12">
        <v>2471.63</v>
      </c>
      <c r="T1092" s="12">
        <v>1334.67</v>
      </c>
      <c r="U1092" s="12">
        <v>3347.77</v>
      </c>
      <c r="V1092" s="12">
        <v>5313.44</v>
      </c>
      <c r="W1092" s="12">
        <v>3560</v>
      </c>
      <c r="X1092" s="12">
        <v>3560</v>
      </c>
      <c r="Y1092" s="12">
        <f t="shared" si="19"/>
        <v>62326.539999999994</v>
      </c>
    </row>
    <row r="1093" spans="1:25" ht="15">
      <c r="A1093">
        <v>2013</v>
      </c>
      <c r="B1093" t="s">
        <v>573</v>
      </c>
      <c r="C1093" t="s">
        <v>7</v>
      </c>
      <c r="D1093" t="s">
        <v>7</v>
      </c>
      <c r="E1093" t="s">
        <v>12</v>
      </c>
      <c r="F1093" t="s">
        <v>237</v>
      </c>
      <c r="G1093" t="s">
        <v>439</v>
      </c>
      <c r="H1093" t="s">
        <v>12</v>
      </c>
      <c r="I1093" t="s">
        <v>12</v>
      </c>
      <c r="J1093" t="s">
        <v>13</v>
      </c>
      <c r="K1093"/>
      <c r="L1093"/>
      <c r="M1093" s="12">
        <v>9627.11</v>
      </c>
      <c r="N1093" s="12">
        <v>9400.57</v>
      </c>
      <c r="O1093" s="12">
        <v>9120.43</v>
      </c>
      <c r="P1093" s="12">
        <v>8791.48</v>
      </c>
      <c r="Q1093" s="12">
        <v>12868.99</v>
      </c>
      <c r="R1093" s="12">
        <v>14945.69</v>
      </c>
      <c r="S1093" s="12">
        <v>10926.92</v>
      </c>
      <c r="T1093" s="12">
        <v>9328.02</v>
      </c>
      <c r="U1093" s="12">
        <v>10102.07</v>
      </c>
      <c r="V1093" s="12">
        <v>10184.26</v>
      </c>
      <c r="W1093" s="12">
        <v>10740</v>
      </c>
      <c r="X1093" s="12">
        <v>10740</v>
      </c>
      <c r="Y1093" s="12">
        <f t="shared" si="19"/>
        <v>126775.54</v>
      </c>
    </row>
    <row r="1094" spans="1:25" ht="15">
      <c r="A1094">
        <v>2013</v>
      </c>
      <c r="B1094" t="s">
        <v>573</v>
      </c>
      <c r="C1094" t="s">
        <v>7</v>
      </c>
      <c r="D1094" t="s">
        <v>7</v>
      </c>
      <c r="E1094" t="s">
        <v>12</v>
      </c>
      <c r="F1094" t="s">
        <v>237</v>
      </c>
      <c r="G1094" t="s">
        <v>439</v>
      </c>
      <c r="H1094" t="s">
        <v>12</v>
      </c>
      <c r="I1094" t="s">
        <v>12</v>
      </c>
      <c r="J1094" t="s">
        <v>61</v>
      </c>
      <c r="K1094"/>
      <c r="L1094"/>
      <c r="M1094" s="12">
        <v>3183.53</v>
      </c>
      <c r="N1094" s="12">
        <v>1336.89</v>
      </c>
      <c r="O1094" s="12">
        <v>6846.24</v>
      </c>
      <c r="P1094" s="12">
        <v>2919.56</v>
      </c>
      <c r="Q1094" s="12">
        <v>2952.53</v>
      </c>
      <c r="R1094" s="12">
        <v>21143.77</v>
      </c>
      <c r="S1094" s="12">
        <v>12291.51</v>
      </c>
      <c r="T1094" s="12">
        <v>12267.55</v>
      </c>
      <c r="U1094" s="12">
        <v>8804.01</v>
      </c>
      <c r="V1094" s="12">
        <v>2918.51</v>
      </c>
      <c r="W1094" s="12">
        <v>10000</v>
      </c>
      <c r="X1094" s="12">
        <v>10000</v>
      </c>
      <c r="Y1094" s="12">
        <f t="shared" si="19"/>
        <v>94664.099999999991</v>
      </c>
    </row>
    <row r="1095" spans="1:25" ht="15">
      <c r="A1095">
        <v>2013</v>
      </c>
      <c r="B1095" t="s">
        <v>573</v>
      </c>
      <c r="C1095" t="s">
        <v>7</v>
      </c>
      <c r="D1095" t="s">
        <v>7</v>
      </c>
      <c r="E1095" t="s">
        <v>12</v>
      </c>
      <c r="F1095" t="s">
        <v>213</v>
      </c>
      <c r="G1095" t="s">
        <v>439</v>
      </c>
      <c r="H1095" t="s">
        <v>12</v>
      </c>
      <c r="I1095" t="s">
        <v>12</v>
      </c>
      <c r="J1095" t="s">
        <v>13</v>
      </c>
      <c r="K1095"/>
      <c r="L1095"/>
      <c r="M1095" s="12">
        <v>1937.17</v>
      </c>
      <c r="N1095" s="12">
        <v>1972.61</v>
      </c>
      <c r="O1095" s="12">
        <v>1938.16</v>
      </c>
      <c r="P1095" s="12">
        <v>1969.72</v>
      </c>
      <c r="Q1095" s="12">
        <v>1994.04</v>
      </c>
      <c r="R1095" s="12">
        <v>1980.27</v>
      </c>
      <c r="S1095" s="12">
        <v>1961.76</v>
      </c>
      <c r="T1095" s="12">
        <v>1677.14</v>
      </c>
      <c r="U1095" s="12">
        <v>2065.46</v>
      </c>
      <c r="V1095" s="12">
        <v>2070.29</v>
      </c>
      <c r="W1095" s="12">
        <v>2160</v>
      </c>
      <c r="X1095" s="12">
        <v>2160</v>
      </c>
      <c r="Y1095" s="12">
        <f t="shared" si="19"/>
        <v>23886.620000000003</v>
      </c>
    </row>
    <row r="1096" spans="1:25" ht="15">
      <c r="A1096">
        <v>2013</v>
      </c>
      <c r="B1096" t="s">
        <v>573</v>
      </c>
      <c r="C1096" t="s">
        <v>7</v>
      </c>
      <c r="D1096" t="s">
        <v>7</v>
      </c>
      <c r="E1096" t="s">
        <v>12</v>
      </c>
      <c r="F1096" t="s">
        <v>239</v>
      </c>
      <c r="G1096" t="s">
        <v>439</v>
      </c>
      <c r="H1096" t="s">
        <v>12</v>
      </c>
      <c r="I1096" t="s">
        <v>12</v>
      </c>
      <c r="J1096" t="s">
        <v>13</v>
      </c>
      <c r="K1096"/>
      <c r="L1096"/>
      <c r="M1096" s="12">
        <v>540.16999999999996</v>
      </c>
      <c r="N1096" s="12">
        <v>1746.34</v>
      </c>
      <c r="O1096" s="12">
        <v>347.92</v>
      </c>
      <c r="P1096" s="12">
        <v>353.25</v>
      </c>
      <c r="Q1096" s="12">
        <v>359.17</v>
      </c>
      <c r="R1096" s="12">
        <v>355.16</v>
      </c>
      <c r="S1096" s="12">
        <v>350.71</v>
      </c>
      <c r="T1096" s="12">
        <v>295.64999999999998</v>
      </c>
      <c r="U1096" s="12">
        <v>346.75</v>
      </c>
      <c r="V1096" s="12">
        <v>349.85</v>
      </c>
      <c r="W1096" s="12">
        <v>442</v>
      </c>
      <c r="X1096" s="12">
        <v>442</v>
      </c>
      <c r="Y1096" s="12">
        <f t="shared" si="19"/>
        <v>5928.97</v>
      </c>
    </row>
    <row r="1097" spans="1:25" ht="15">
      <c r="A1097">
        <v>2013</v>
      </c>
      <c r="B1097" t="s">
        <v>573</v>
      </c>
      <c r="C1097" t="s">
        <v>7</v>
      </c>
      <c r="D1097" t="s">
        <v>7</v>
      </c>
      <c r="E1097" t="s">
        <v>12</v>
      </c>
      <c r="F1097" t="s">
        <v>258</v>
      </c>
      <c r="G1097" t="s">
        <v>439</v>
      </c>
      <c r="H1097" t="s">
        <v>12</v>
      </c>
      <c r="I1097" t="s">
        <v>12</v>
      </c>
      <c r="J1097" t="s">
        <v>13</v>
      </c>
      <c r="K1097"/>
      <c r="L1097"/>
      <c r="M1097" s="12">
        <v>337.6</v>
      </c>
      <c r="N1097" s="12">
        <v>340.36</v>
      </c>
      <c r="O1097" s="12">
        <v>345</v>
      </c>
      <c r="P1097" s="12">
        <v>366.98</v>
      </c>
      <c r="Q1097" s="12">
        <v>339</v>
      </c>
      <c r="R1097" s="12">
        <v>350.59</v>
      </c>
      <c r="S1097" s="12">
        <v>346.82</v>
      </c>
      <c r="T1097" s="12">
        <v>297.29000000000002</v>
      </c>
      <c r="U1097" s="12">
        <v>337.11</v>
      </c>
      <c r="V1097" s="12">
        <v>340.13</v>
      </c>
      <c r="W1097" s="12">
        <v>782</v>
      </c>
      <c r="X1097" s="12">
        <v>782</v>
      </c>
      <c r="Y1097" s="12">
        <f t="shared" si="19"/>
        <v>4964.880000000001</v>
      </c>
    </row>
    <row r="1098" spans="1:25" ht="15">
      <c r="A1098">
        <v>2013</v>
      </c>
      <c r="B1098" t="s">
        <v>573</v>
      </c>
      <c r="C1098" t="s">
        <v>7</v>
      </c>
      <c r="D1098" t="s">
        <v>7</v>
      </c>
      <c r="E1098" t="s">
        <v>12</v>
      </c>
      <c r="F1098" t="s">
        <v>94</v>
      </c>
      <c r="G1098" t="s">
        <v>439</v>
      </c>
      <c r="H1098" t="s">
        <v>12</v>
      </c>
      <c r="I1098" t="s">
        <v>12</v>
      </c>
      <c r="J1098" t="s">
        <v>13</v>
      </c>
      <c r="K1098"/>
      <c r="L1098"/>
      <c r="M1098" s="12">
        <v>144.69</v>
      </c>
      <c r="N1098" s="12">
        <v>144.84</v>
      </c>
      <c r="O1098" s="12">
        <v>153.06</v>
      </c>
      <c r="P1098" s="12">
        <v>147.19</v>
      </c>
      <c r="Q1098" s="12">
        <v>292.99</v>
      </c>
      <c r="R1098" s="12">
        <v>168.77</v>
      </c>
      <c r="S1098" s="12">
        <v>145.72999999999999</v>
      </c>
      <c r="T1098" s="12">
        <v>137.30000000000001</v>
      </c>
      <c r="U1098" s="12">
        <v>129.04</v>
      </c>
      <c r="V1098" s="12"/>
      <c r="W1098" s="12">
        <v>200</v>
      </c>
      <c r="X1098" s="12">
        <v>200</v>
      </c>
      <c r="Y1098" s="12">
        <f t="shared" si="19"/>
        <v>1863.61</v>
      </c>
    </row>
    <row r="1099" spans="1:25" ht="15">
      <c r="A1099">
        <v>2013</v>
      </c>
      <c r="B1099" t="s">
        <v>573</v>
      </c>
      <c r="C1099" t="s">
        <v>7</v>
      </c>
      <c r="D1099" t="s">
        <v>7</v>
      </c>
      <c r="E1099" t="s">
        <v>12</v>
      </c>
      <c r="F1099" t="s">
        <v>260</v>
      </c>
      <c r="G1099" t="s">
        <v>439</v>
      </c>
      <c r="H1099" t="s">
        <v>12</v>
      </c>
      <c r="I1099" t="s">
        <v>12</v>
      </c>
      <c r="J1099" t="s">
        <v>13</v>
      </c>
      <c r="K1099"/>
      <c r="L1099"/>
      <c r="M1099" s="12">
        <v>1017.97</v>
      </c>
      <c r="N1099" s="12">
        <v>1121.33</v>
      </c>
      <c r="O1099" s="12">
        <v>1089.54</v>
      </c>
      <c r="P1099" s="12">
        <v>971.49</v>
      </c>
      <c r="Q1099" s="12">
        <v>1553.82</v>
      </c>
      <c r="R1099" s="12">
        <v>1195.8599999999999</v>
      </c>
      <c r="S1099" s="12">
        <v>992.4</v>
      </c>
      <c r="T1099" s="12">
        <v>767.29</v>
      </c>
      <c r="U1099" s="12">
        <v>1011.04</v>
      </c>
      <c r="V1099" s="12">
        <v>870.57</v>
      </c>
      <c r="W1099" s="12">
        <v>1090</v>
      </c>
      <c r="X1099" s="12">
        <v>1090</v>
      </c>
      <c r="Y1099" s="12">
        <f t="shared" si="19"/>
        <v>12771.309999999998</v>
      </c>
    </row>
    <row r="1100" spans="1:25" ht="15">
      <c r="A1100">
        <v>2013</v>
      </c>
      <c r="B1100" t="s">
        <v>573</v>
      </c>
      <c r="C1100" t="s">
        <v>7</v>
      </c>
      <c r="D1100" t="s">
        <v>7</v>
      </c>
      <c r="E1100" t="s">
        <v>12</v>
      </c>
      <c r="F1100" t="s">
        <v>232</v>
      </c>
      <c r="G1100" t="s">
        <v>439</v>
      </c>
      <c r="H1100" t="s">
        <v>12</v>
      </c>
      <c r="I1100" t="s">
        <v>12</v>
      </c>
      <c r="J1100" t="s">
        <v>13</v>
      </c>
      <c r="K1100"/>
      <c r="L1100"/>
      <c r="M1100" s="12"/>
      <c r="N1100" s="12"/>
      <c r="O1100" s="12"/>
      <c r="P1100" s="12"/>
      <c r="Q1100" s="12"/>
      <c r="R1100" s="12">
        <v>170.26</v>
      </c>
      <c r="S1100" s="12"/>
      <c r="T1100" s="12"/>
      <c r="U1100" s="12"/>
      <c r="V1100" s="12"/>
      <c r="W1100" s="12"/>
      <c r="X1100" s="12"/>
      <c r="Y1100" s="12">
        <f t="shared" si="19"/>
        <v>170.26</v>
      </c>
    </row>
    <row r="1101" spans="1:25" ht="15">
      <c r="A1101">
        <v>2013</v>
      </c>
      <c r="B1101" t="s">
        <v>573</v>
      </c>
      <c r="C1101" t="s">
        <v>7</v>
      </c>
      <c r="D1101" t="s">
        <v>7</v>
      </c>
      <c r="E1101" t="s">
        <v>12</v>
      </c>
      <c r="F1101" t="s">
        <v>8</v>
      </c>
      <c r="G1101" t="s">
        <v>439</v>
      </c>
      <c r="H1101" t="s">
        <v>12</v>
      </c>
      <c r="I1101" t="s">
        <v>12</v>
      </c>
      <c r="J1101" t="s">
        <v>13</v>
      </c>
      <c r="K1101"/>
      <c r="L1101"/>
      <c r="M1101" s="12"/>
      <c r="N1101" s="12">
        <v>242.46</v>
      </c>
      <c r="O1101" s="12">
        <v>144.97</v>
      </c>
      <c r="P1101" s="12">
        <v>147.19</v>
      </c>
      <c r="Q1101" s="12">
        <v>147.22999999999999</v>
      </c>
      <c r="R1101" s="12">
        <v>145.08000000000001</v>
      </c>
      <c r="S1101" s="12">
        <v>145.72999999999999</v>
      </c>
      <c r="T1101" s="12">
        <v>123.19</v>
      </c>
      <c r="U1101" s="12">
        <v>144.47999999999999</v>
      </c>
      <c r="V1101" s="12">
        <v>145.77000000000001</v>
      </c>
      <c r="W1101" s="12">
        <v>380</v>
      </c>
      <c r="X1101" s="12">
        <v>380</v>
      </c>
      <c r="Y1101" s="12">
        <f t="shared" si="19"/>
        <v>2146.1000000000004</v>
      </c>
    </row>
    <row r="1102" spans="1:25" ht="15">
      <c r="A1102">
        <v>2013</v>
      </c>
      <c r="B1102" t="s">
        <v>573</v>
      </c>
      <c r="C1102" t="s">
        <v>7</v>
      </c>
      <c r="D1102" t="s">
        <v>7</v>
      </c>
      <c r="E1102" t="s">
        <v>12</v>
      </c>
      <c r="F1102" t="s">
        <v>166</v>
      </c>
      <c r="G1102" t="s">
        <v>439</v>
      </c>
      <c r="H1102" t="s">
        <v>12</v>
      </c>
      <c r="I1102" t="s">
        <v>12</v>
      </c>
      <c r="J1102" t="s">
        <v>134</v>
      </c>
      <c r="K1102"/>
      <c r="L110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>
        <v>110</v>
      </c>
      <c r="X1102" s="12">
        <v>110</v>
      </c>
      <c r="Y1102" s="12">
        <f t="shared" si="19"/>
        <v>220</v>
      </c>
    </row>
    <row r="1103" spans="1:25" ht="15">
      <c r="A1103">
        <v>2013</v>
      </c>
      <c r="B1103" t="s">
        <v>573</v>
      </c>
      <c r="C1103" t="s">
        <v>7</v>
      </c>
      <c r="D1103" t="s">
        <v>7</v>
      </c>
      <c r="E1103" t="s">
        <v>12</v>
      </c>
      <c r="F1103" t="s">
        <v>166</v>
      </c>
      <c r="G1103" t="s">
        <v>439</v>
      </c>
      <c r="H1103" t="s">
        <v>12</v>
      </c>
      <c r="I1103" t="s">
        <v>12</v>
      </c>
      <c r="J1103" t="s">
        <v>13</v>
      </c>
      <c r="K1103"/>
      <c r="L1103"/>
      <c r="M1103" s="12">
        <v>572.13</v>
      </c>
      <c r="N1103" s="12">
        <v>422.81</v>
      </c>
      <c r="O1103" s="12">
        <v>392.77</v>
      </c>
      <c r="P1103" s="12">
        <v>739.58</v>
      </c>
      <c r="Q1103" s="12">
        <v>502.22</v>
      </c>
      <c r="R1103" s="12">
        <v>484.86</v>
      </c>
      <c r="S1103" s="12">
        <v>454.46</v>
      </c>
      <c r="T1103" s="12">
        <v>411.96</v>
      </c>
      <c r="U1103" s="12">
        <v>442.75</v>
      </c>
      <c r="V1103" s="12">
        <v>1108.8800000000001</v>
      </c>
      <c r="W1103" s="12">
        <v>380</v>
      </c>
      <c r="X1103" s="12">
        <v>380</v>
      </c>
      <c r="Y1103" s="12">
        <f t="shared" si="19"/>
        <v>6292.420000000001</v>
      </c>
    </row>
    <row r="1104" spans="1:25" ht="15">
      <c r="A1104">
        <v>2013</v>
      </c>
      <c r="B1104" t="s">
        <v>573</v>
      </c>
      <c r="C1104" t="s">
        <v>7</v>
      </c>
      <c r="D1104" t="s">
        <v>7</v>
      </c>
      <c r="E1104" t="s">
        <v>12</v>
      </c>
      <c r="F1104" t="s">
        <v>208</v>
      </c>
      <c r="G1104" t="s">
        <v>245</v>
      </c>
      <c r="H1104" t="s">
        <v>12</v>
      </c>
      <c r="I1104" t="s">
        <v>12</v>
      </c>
      <c r="J1104" t="s">
        <v>13</v>
      </c>
      <c r="K1104"/>
      <c r="L1104"/>
      <c r="M1104" s="12"/>
      <c r="N1104" s="12"/>
      <c r="O1104" s="12"/>
      <c r="P1104" s="12"/>
      <c r="Q1104" s="12"/>
      <c r="R1104" s="12">
        <v>339.47</v>
      </c>
      <c r="S1104" s="12">
        <v>341.96</v>
      </c>
      <c r="T1104" s="12"/>
      <c r="U1104" s="12"/>
      <c r="V1104" s="12"/>
      <c r="W1104" s="12"/>
      <c r="X1104" s="12"/>
      <c r="Y1104" s="12">
        <f t="shared" si="19"/>
        <v>681.43000000000006</v>
      </c>
    </row>
    <row r="1105" spans="1:25" ht="15">
      <c r="A1105">
        <v>2013</v>
      </c>
      <c r="B1105" t="s">
        <v>573</v>
      </c>
      <c r="C1105" t="s">
        <v>7</v>
      </c>
      <c r="D1105" t="s">
        <v>7</v>
      </c>
      <c r="E1105" t="s">
        <v>12</v>
      </c>
      <c r="F1105" t="s">
        <v>208</v>
      </c>
      <c r="G1105" t="s">
        <v>439</v>
      </c>
      <c r="H1105" t="s">
        <v>148</v>
      </c>
      <c r="I1105" t="s">
        <v>148</v>
      </c>
      <c r="J1105" t="s">
        <v>148</v>
      </c>
      <c r="K1105"/>
      <c r="L1105"/>
      <c r="M1105" s="12"/>
      <c r="N1105" s="12"/>
      <c r="O1105" s="12"/>
      <c r="P1105" s="12"/>
      <c r="Q1105" s="12"/>
      <c r="R1105" s="12"/>
      <c r="S1105" s="12"/>
      <c r="T1105" s="12">
        <v>9916</v>
      </c>
      <c r="U1105" s="12"/>
      <c r="V1105" s="12"/>
      <c r="W1105" s="12"/>
      <c r="X1105" s="12"/>
      <c r="Y1105" s="12">
        <f t="shared" si="19"/>
        <v>9916</v>
      </c>
    </row>
    <row r="1106" spans="1:25" ht="15">
      <c r="A1106">
        <v>2013</v>
      </c>
      <c r="B1106" t="s">
        <v>573</v>
      </c>
      <c r="C1106" t="s">
        <v>7</v>
      </c>
      <c r="D1106" t="s">
        <v>7</v>
      </c>
      <c r="E1106" t="s">
        <v>12</v>
      </c>
      <c r="F1106" t="s">
        <v>208</v>
      </c>
      <c r="G1106" t="s">
        <v>439</v>
      </c>
      <c r="H1106" t="s">
        <v>12</v>
      </c>
      <c r="I1106" t="s">
        <v>12</v>
      </c>
      <c r="J1106" t="s">
        <v>13</v>
      </c>
      <c r="K1106"/>
      <c r="L1106"/>
      <c r="M1106" s="12">
        <v>344.35</v>
      </c>
      <c r="N1106" s="12">
        <v>337.96</v>
      </c>
      <c r="O1106" s="12">
        <v>339.22</v>
      </c>
      <c r="P1106" s="12">
        <v>343.43</v>
      </c>
      <c r="Q1106" s="12">
        <v>339</v>
      </c>
      <c r="R1106" s="12"/>
      <c r="S1106" s="12"/>
      <c r="T1106" s="12">
        <v>287.43</v>
      </c>
      <c r="U1106" s="12">
        <v>339.99</v>
      </c>
      <c r="V1106" s="12"/>
      <c r="W1106" s="12"/>
      <c r="X1106" s="12"/>
      <c r="Y1106" s="12">
        <f t="shared" si="19"/>
        <v>2331.38</v>
      </c>
    </row>
    <row r="1107" spans="1:25" ht="15">
      <c r="A1107">
        <v>2013</v>
      </c>
      <c r="B1107" t="s">
        <v>573</v>
      </c>
      <c r="C1107" t="s">
        <v>7</v>
      </c>
      <c r="D1107" t="s">
        <v>7</v>
      </c>
      <c r="E1107" t="s">
        <v>12</v>
      </c>
      <c r="F1107" t="s">
        <v>247</v>
      </c>
      <c r="G1107" t="s">
        <v>439</v>
      </c>
      <c r="H1107" t="s">
        <v>12</v>
      </c>
      <c r="I1107" t="s">
        <v>12</v>
      </c>
      <c r="J1107" t="s">
        <v>13</v>
      </c>
      <c r="K1107"/>
      <c r="L1107"/>
      <c r="M1107" s="12">
        <v>538.71</v>
      </c>
      <c r="N1107" s="12">
        <v>1215.6099999999999</v>
      </c>
      <c r="O1107" s="12">
        <v>392.38</v>
      </c>
      <c r="P1107" s="12">
        <v>398.39</v>
      </c>
      <c r="Q1107" s="12">
        <v>425.69</v>
      </c>
      <c r="R1107" s="12">
        <v>476.33</v>
      </c>
      <c r="S1107" s="12">
        <v>396.37</v>
      </c>
      <c r="T1107" s="12">
        <v>335.07</v>
      </c>
      <c r="U1107" s="12">
        <v>415.61</v>
      </c>
      <c r="V1107" s="12">
        <v>408.64</v>
      </c>
      <c r="W1107" s="12">
        <v>461</v>
      </c>
      <c r="X1107" s="12">
        <v>461</v>
      </c>
      <c r="Y1107" s="12">
        <f t="shared" si="19"/>
        <v>5924.7999999999993</v>
      </c>
    </row>
    <row r="1108" spans="1:25" ht="15">
      <c r="A1108">
        <v>2013</v>
      </c>
      <c r="B1108" t="s">
        <v>573</v>
      </c>
      <c r="C1108" t="s">
        <v>7</v>
      </c>
      <c r="D1108" t="s">
        <v>289</v>
      </c>
      <c r="E1108" t="s">
        <v>289</v>
      </c>
      <c r="F1108" t="s">
        <v>236</v>
      </c>
      <c r="G1108" t="s">
        <v>439</v>
      </c>
      <c r="H1108" t="s">
        <v>289</v>
      </c>
      <c r="I1108" t="s">
        <v>289</v>
      </c>
      <c r="J1108" t="s">
        <v>289</v>
      </c>
      <c r="K1108"/>
      <c r="L1108"/>
      <c r="M1108" s="12">
        <v>1481918.18</v>
      </c>
      <c r="N1108" s="12">
        <v>1509088.97</v>
      </c>
      <c r="O1108" s="12">
        <v>1568080.98</v>
      </c>
      <c r="P1108" s="12">
        <v>1605050.39</v>
      </c>
      <c r="Q1108" s="12">
        <v>1621676.9</v>
      </c>
      <c r="R1108" s="12">
        <v>1661815.54</v>
      </c>
      <c r="S1108" s="12">
        <v>1730325.35</v>
      </c>
      <c r="T1108" s="12">
        <v>1774609.1</v>
      </c>
      <c r="U1108" s="12">
        <v>1803803.34</v>
      </c>
      <c r="V1108" s="12">
        <v>1802336.22</v>
      </c>
      <c r="W1108" s="12">
        <v>1800000</v>
      </c>
      <c r="X1108" s="12">
        <v>1800000</v>
      </c>
      <c r="Y1108" s="12">
        <f t="shared" si="19"/>
        <v>20158704.969999999</v>
      </c>
    </row>
    <row r="1109" spans="1:25" ht="15">
      <c r="A1109">
        <v>2013</v>
      </c>
      <c r="B1109" t="s">
        <v>573</v>
      </c>
      <c r="C1109" t="s">
        <v>7</v>
      </c>
      <c r="D1109" t="s">
        <v>92</v>
      </c>
      <c r="E1109" t="s">
        <v>12</v>
      </c>
      <c r="F1109" t="s">
        <v>237</v>
      </c>
      <c r="G1109" t="s">
        <v>439</v>
      </c>
      <c r="H1109" t="s">
        <v>12</v>
      </c>
      <c r="I1109" t="s">
        <v>12</v>
      </c>
      <c r="J1109" t="s">
        <v>13</v>
      </c>
      <c r="K1109"/>
      <c r="L1109"/>
      <c r="M1109" s="12"/>
      <c r="N1109" s="12"/>
      <c r="O1109" s="12"/>
      <c r="P1109" s="12"/>
      <c r="Q1109" s="12"/>
      <c r="R1109" s="12"/>
      <c r="S1109" s="12"/>
      <c r="T1109" s="12"/>
      <c r="U1109" s="12">
        <v>74.56</v>
      </c>
      <c r="V1109" s="12"/>
      <c r="W1109" s="12"/>
      <c r="X1109" s="12"/>
      <c r="Y1109" s="12">
        <f t="shared" si="19"/>
        <v>74.56</v>
      </c>
    </row>
    <row r="1110" spans="1:25" ht="15">
      <c r="A1110">
        <v>2013</v>
      </c>
      <c r="B1110" t="s">
        <v>573</v>
      </c>
      <c r="C1110" t="s">
        <v>7</v>
      </c>
      <c r="D1110" t="s">
        <v>32</v>
      </c>
      <c r="E1110" t="s">
        <v>149</v>
      </c>
      <c r="F1110" t="s">
        <v>8</v>
      </c>
      <c r="G1110" t="s">
        <v>439</v>
      </c>
      <c r="H1110" t="s">
        <v>149</v>
      </c>
      <c r="I1110" t="s">
        <v>149</v>
      </c>
      <c r="J1110" t="s">
        <v>150</v>
      </c>
      <c r="K1110"/>
      <c r="L1110"/>
      <c r="M1110" s="12"/>
      <c r="N1110" s="12"/>
      <c r="O1110" s="12"/>
      <c r="P1110" s="12">
        <v>576.2026692463445</v>
      </c>
      <c r="Q1110" s="12"/>
      <c r="R1110" s="12"/>
      <c r="S1110" s="12"/>
      <c r="T1110" s="12"/>
      <c r="U1110" s="12"/>
      <c r="V1110" s="12"/>
      <c r="W1110" s="12"/>
      <c r="X1110" s="12"/>
      <c r="Y1110" s="12">
        <f t="shared" ref="Y1110:Y1173" si="20">SUM(M1110:X1110)</f>
        <v>576.2026692463445</v>
      </c>
    </row>
    <row r="1111" spans="1:25" ht="15">
      <c r="A1111">
        <v>2013</v>
      </c>
      <c r="B1111" t="s">
        <v>573</v>
      </c>
      <c r="C1111" t="s">
        <v>7</v>
      </c>
      <c r="D1111" t="s">
        <v>32</v>
      </c>
      <c r="E1111" t="s">
        <v>149</v>
      </c>
      <c r="F1111" t="s">
        <v>208</v>
      </c>
      <c r="G1111" t="s">
        <v>245</v>
      </c>
      <c r="H1111" t="s">
        <v>149</v>
      </c>
      <c r="I1111" t="s">
        <v>149</v>
      </c>
      <c r="J1111" t="s">
        <v>150</v>
      </c>
      <c r="K1111"/>
      <c r="L1111"/>
      <c r="M1111" s="12"/>
      <c r="N1111" s="12"/>
      <c r="O1111" s="12"/>
      <c r="P1111" s="12">
        <v>720.25048773626906</v>
      </c>
      <c r="Q1111" s="12"/>
      <c r="R1111" s="12"/>
      <c r="S1111" s="12"/>
      <c r="T1111" s="12"/>
      <c r="U1111" s="12"/>
      <c r="V1111" s="12"/>
      <c r="W1111" s="12"/>
      <c r="X1111" s="12"/>
      <c r="Y1111" s="12">
        <f t="shared" si="20"/>
        <v>720.25048773626906</v>
      </c>
    </row>
    <row r="1112" spans="1:25" ht="15">
      <c r="A1112">
        <v>2013</v>
      </c>
      <c r="B1112" t="s">
        <v>573</v>
      </c>
      <c r="C1112" t="s">
        <v>7</v>
      </c>
      <c r="D1112" t="s">
        <v>32</v>
      </c>
      <c r="E1112" t="s">
        <v>12</v>
      </c>
      <c r="F1112" t="s">
        <v>237</v>
      </c>
      <c r="G1112" t="s">
        <v>439</v>
      </c>
      <c r="H1112" t="s">
        <v>12</v>
      </c>
      <c r="I1112" t="s">
        <v>12</v>
      </c>
      <c r="J1112" t="s">
        <v>13</v>
      </c>
      <c r="K1112"/>
      <c r="L1112"/>
      <c r="M1112" s="12"/>
      <c r="N1112" s="12"/>
      <c r="O1112" s="12"/>
      <c r="P1112" s="12"/>
      <c r="Q1112" s="12"/>
      <c r="R1112" s="12"/>
      <c r="S1112" s="12"/>
      <c r="T1112" s="12"/>
      <c r="U1112" s="12">
        <v>9840.34</v>
      </c>
      <c r="V1112" s="12"/>
      <c r="W1112" s="12"/>
      <c r="X1112" s="12"/>
      <c r="Y1112" s="12">
        <f t="shared" si="20"/>
        <v>9840.34</v>
      </c>
    </row>
    <row r="1113" spans="1:25" ht="15">
      <c r="A1113">
        <v>2013</v>
      </c>
      <c r="B1113" t="s">
        <v>573</v>
      </c>
      <c r="C1113" t="s">
        <v>7</v>
      </c>
      <c r="D1113" t="s">
        <v>16</v>
      </c>
      <c r="E1113" t="s">
        <v>149</v>
      </c>
      <c r="F1113" t="s">
        <v>208</v>
      </c>
      <c r="G1113" t="s">
        <v>439</v>
      </c>
      <c r="H1113" t="s">
        <v>149</v>
      </c>
      <c r="I1113" t="s">
        <v>149</v>
      </c>
      <c r="J1113" t="s">
        <v>150</v>
      </c>
      <c r="K1113"/>
      <c r="L1113"/>
      <c r="M1113" s="12"/>
      <c r="N1113" s="12"/>
      <c r="O1113" s="12"/>
      <c r="P1113" s="12"/>
      <c r="Q1113" s="12"/>
      <c r="R1113" s="12"/>
      <c r="S1113" s="12"/>
      <c r="T1113" s="12"/>
      <c r="U1113" s="12">
        <v>552.31857614527075</v>
      </c>
      <c r="V1113" s="12"/>
      <c r="W1113" s="12"/>
      <c r="X1113" s="12"/>
      <c r="Y1113" s="12">
        <f t="shared" si="20"/>
        <v>552.31857614527075</v>
      </c>
    </row>
    <row r="1114" spans="1:25" ht="15">
      <c r="A1114">
        <v>2013</v>
      </c>
      <c r="B1114" t="s">
        <v>573</v>
      </c>
      <c r="C1114" t="s">
        <v>7</v>
      </c>
      <c r="D1114" t="s">
        <v>54</v>
      </c>
      <c r="E1114" t="s">
        <v>412</v>
      </c>
      <c r="F1114" t="s">
        <v>78</v>
      </c>
      <c r="G1114" t="s">
        <v>439</v>
      </c>
      <c r="H1114" t="s">
        <v>54</v>
      </c>
      <c r="I1114" t="s">
        <v>412</v>
      </c>
      <c r="J1114" t="s">
        <v>427</v>
      </c>
      <c r="K1114"/>
      <c r="L1114"/>
      <c r="M1114" s="12">
        <v>3000</v>
      </c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>
        <v>1500</v>
      </c>
      <c r="Y1114" s="12">
        <f t="shared" si="20"/>
        <v>4500</v>
      </c>
    </row>
    <row r="1115" spans="1:25" ht="15">
      <c r="A1115">
        <v>2013</v>
      </c>
      <c r="B1115" t="s">
        <v>573</v>
      </c>
      <c r="C1115" t="s">
        <v>7</v>
      </c>
      <c r="D1115" t="s">
        <v>54</v>
      </c>
      <c r="E1115" t="s">
        <v>412</v>
      </c>
      <c r="F1115" t="s">
        <v>85</v>
      </c>
      <c r="G1115" t="s">
        <v>439</v>
      </c>
      <c r="H1115" t="s">
        <v>54</v>
      </c>
      <c r="I1115" t="s">
        <v>412</v>
      </c>
      <c r="J1115" t="s">
        <v>427</v>
      </c>
      <c r="K1115"/>
      <c r="L1115"/>
      <c r="M1115" s="12">
        <v>3000</v>
      </c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>
        <v>1500</v>
      </c>
      <c r="Y1115" s="12">
        <f t="shared" si="20"/>
        <v>4500</v>
      </c>
    </row>
    <row r="1116" spans="1:25" ht="15">
      <c r="A1116">
        <v>2013</v>
      </c>
      <c r="B1116" t="s">
        <v>573</v>
      </c>
      <c r="C1116" t="s">
        <v>7</v>
      </c>
      <c r="D1116" t="s">
        <v>54</v>
      </c>
      <c r="E1116" t="s">
        <v>412</v>
      </c>
      <c r="F1116" t="s">
        <v>234</v>
      </c>
      <c r="G1116" t="s">
        <v>439</v>
      </c>
      <c r="H1116" t="s">
        <v>54</v>
      </c>
      <c r="I1116" t="s">
        <v>412</v>
      </c>
      <c r="J1116" t="s">
        <v>427</v>
      </c>
      <c r="K1116"/>
      <c r="L1116"/>
      <c r="M1116" s="12"/>
      <c r="N1116" s="12"/>
      <c r="O1116" s="12"/>
      <c r="P1116" s="12"/>
      <c r="Q1116" s="12"/>
      <c r="R1116" s="12"/>
      <c r="S1116" s="12">
        <v>6000</v>
      </c>
      <c r="T1116" s="12"/>
      <c r="U1116" s="12"/>
      <c r="V1116" s="12"/>
      <c r="W1116" s="12"/>
      <c r="X1116" s="12"/>
      <c r="Y1116" s="12">
        <f t="shared" si="20"/>
        <v>6000</v>
      </c>
    </row>
    <row r="1117" spans="1:25" ht="15">
      <c r="A1117">
        <v>2013</v>
      </c>
      <c r="B1117" t="s">
        <v>573</v>
      </c>
      <c r="C1117" t="s">
        <v>7</v>
      </c>
      <c r="D1117" t="s">
        <v>54</v>
      </c>
      <c r="E1117" t="s">
        <v>412</v>
      </c>
      <c r="F1117" t="s">
        <v>81</v>
      </c>
      <c r="G1117" t="s">
        <v>439</v>
      </c>
      <c r="H1117" t="s">
        <v>54</v>
      </c>
      <c r="I1117" t="s">
        <v>412</v>
      </c>
      <c r="J1117" t="s">
        <v>413</v>
      </c>
      <c r="K1117"/>
      <c r="L1117"/>
      <c r="M1117" s="12"/>
      <c r="N1117" s="12"/>
      <c r="O1117" s="12"/>
      <c r="P1117" s="12">
        <v>88131.6</v>
      </c>
      <c r="Q1117" s="12">
        <v>86280</v>
      </c>
      <c r="R1117" s="12">
        <v>14400</v>
      </c>
      <c r="S1117" s="12"/>
      <c r="T1117" s="12">
        <v>6771.6</v>
      </c>
      <c r="U1117" s="12"/>
      <c r="V1117" s="12"/>
      <c r="W1117" s="12"/>
      <c r="X1117" s="12"/>
      <c r="Y1117" s="12">
        <f t="shared" si="20"/>
        <v>195583.2</v>
      </c>
    </row>
    <row r="1118" spans="1:25" ht="15">
      <c r="A1118">
        <v>2013</v>
      </c>
      <c r="B1118" t="s">
        <v>573</v>
      </c>
      <c r="C1118" t="s">
        <v>7</v>
      </c>
      <c r="D1118" t="s">
        <v>54</v>
      </c>
      <c r="E1118" t="s">
        <v>412</v>
      </c>
      <c r="F1118" t="s">
        <v>81</v>
      </c>
      <c r="G1118" t="s">
        <v>439</v>
      </c>
      <c r="H1118" t="s">
        <v>54</v>
      </c>
      <c r="I1118" t="s">
        <v>412</v>
      </c>
      <c r="J1118" t="s">
        <v>427</v>
      </c>
      <c r="K1118"/>
      <c r="L1118"/>
      <c r="M1118" s="12"/>
      <c r="N1118" s="12"/>
      <c r="O1118" s="12"/>
      <c r="P1118" s="12">
        <v>7000</v>
      </c>
      <c r="Q1118" s="12">
        <v>21000</v>
      </c>
      <c r="R1118" s="12"/>
      <c r="S1118" s="12"/>
      <c r="T1118" s="12"/>
      <c r="U1118" s="12"/>
      <c r="V1118" s="12"/>
      <c r="W1118" s="12"/>
      <c r="X1118" s="12"/>
      <c r="Y1118" s="12">
        <f t="shared" si="20"/>
        <v>28000</v>
      </c>
    </row>
    <row r="1119" spans="1:25" ht="15">
      <c r="A1119">
        <v>2013</v>
      </c>
      <c r="B1119" t="s">
        <v>573</v>
      </c>
      <c r="C1119" t="s">
        <v>7</v>
      </c>
      <c r="D1119" t="s">
        <v>54</v>
      </c>
      <c r="E1119" t="s">
        <v>79</v>
      </c>
      <c r="F1119" t="s">
        <v>81</v>
      </c>
      <c r="G1119" t="s">
        <v>439</v>
      </c>
      <c r="H1119" t="s">
        <v>54</v>
      </c>
      <c r="I1119" t="s">
        <v>79</v>
      </c>
      <c r="J1119" t="s">
        <v>87</v>
      </c>
      <c r="K1119"/>
      <c r="L1119"/>
      <c r="M1119" s="12">
        <v>77191.92</v>
      </c>
      <c r="N1119" s="12">
        <v>1290</v>
      </c>
      <c r="O1119" s="12">
        <v>26.93</v>
      </c>
      <c r="P1119" s="12">
        <v>100</v>
      </c>
      <c r="Q1119" s="12">
        <v>53188.62</v>
      </c>
      <c r="R1119" s="12">
        <v>4895.42</v>
      </c>
      <c r="S1119" s="12">
        <v>2132.0300000000002</v>
      </c>
      <c r="T1119" s="12">
        <v>2080.59</v>
      </c>
      <c r="U1119" s="12">
        <v>1365.15</v>
      </c>
      <c r="V1119" s="12">
        <v>10815.82</v>
      </c>
      <c r="W1119" s="12">
        <v>7000</v>
      </c>
      <c r="X1119" s="12">
        <v>7000</v>
      </c>
      <c r="Y1119" s="12">
        <f t="shared" si="20"/>
        <v>167086.48000000001</v>
      </c>
    </row>
    <row r="1120" spans="1:25" ht="15">
      <c r="A1120">
        <v>2013</v>
      </c>
      <c r="B1120" t="s">
        <v>573</v>
      </c>
      <c r="C1120" t="s">
        <v>7</v>
      </c>
      <c r="D1120" t="s">
        <v>54</v>
      </c>
      <c r="E1120" t="s">
        <v>79</v>
      </c>
      <c r="F1120" t="s">
        <v>81</v>
      </c>
      <c r="G1120" t="s">
        <v>439</v>
      </c>
      <c r="H1120" t="s">
        <v>54</v>
      </c>
      <c r="I1120" t="s">
        <v>79</v>
      </c>
      <c r="J1120" t="s">
        <v>80</v>
      </c>
      <c r="K1120"/>
      <c r="L1120"/>
      <c r="M1120" s="12"/>
      <c r="N1120" s="12"/>
      <c r="O1120" s="12"/>
      <c r="P1120" s="12">
        <v>430</v>
      </c>
      <c r="Q1120" s="12"/>
      <c r="R1120" s="12"/>
      <c r="S1120" s="12"/>
      <c r="T1120" s="12">
        <v>430</v>
      </c>
      <c r="U1120" s="12"/>
      <c r="V1120" s="12">
        <v>430</v>
      </c>
      <c r="W1120" s="12">
        <v>2000</v>
      </c>
      <c r="X1120" s="12">
        <v>2000</v>
      </c>
      <c r="Y1120" s="12">
        <f t="shared" si="20"/>
        <v>5290</v>
      </c>
    </row>
    <row r="1121" spans="1:25" ht="15">
      <c r="A1121">
        <v>2013</v>
      </c>
      <c r="B1121" t="s">
        <v>573</v>
      </c>
      <c r="C1121" t="s">
        <v>7</v>
      </c>
      <c r="D1121" t="s">
        <v>54</v>
      </c>
      <c r="E1121" t="s">
        <v>79</v>
      </c>
      <c r="F1121" t="s">
        <v>81</v>
      </c>
      <c r="G1121" t="s">
        <v>439</v>
      </c>
      <c r="H1121" t="s">
        <v>54</v>
      </c>
      <c r="I1121" t="s">
        <v>79</v>
      </c>
      <c r="J1121" t="s">
        <v>433</v>
      </c>
      <c r="K1121"/>
      <c r="L1121"/>
      <c r="M1121" s="12"/>
      <c r="N1121" s="12">
        <v>7000</v>
      </c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>
        <f t="shared" si="20"/>
        <v>7000</v>
      </c>
    </row>
    <row r="1122" spans="1:25" ht="15">
      <c r="A1122">
        <v>2013</v>
      </c>
      <c r="B1122" t="s">
        <v>573</v>
      </c>
      <c r="C1122" t="s">
        <v>7</v>
      </c>
      <c r="D1122" t="s">
        <v>54</v>
      </c>
      <c r="E1122" t="s">
        <v>79</v>
      </c>
      <c r="F1122" t="s">
        <v>81</v>
      </c>
      <c r="G1122" t="s">
        <v>439</v>
      </c>
      <c r="H1122" t="s">
        <v>54</v>
      </c>
      <c r="I1122" t="s">
        <v>79</v>
      </c>
      <c r="J1122" t="s">
        <v>422</v>
      </c>
      <c r="K1122"/>
      <c r="L1122"/>
      <c r="M1122" s="12">
        <v>1033368.41</v>
      </c>
      <c r="N1122" s="12"/>
      <c r="O1122" s="12"/>
      <c r="P1122" s="12"/>
      <c r="Q1122" s="12">
        <v>973.79</v>
      </c>
      <c r="R1122" s="12"/>
      <c r="S1122" s="12"/>
      <c r="T1122" s="12">
        <v>12077.53</v>
      </c>
      <c r="U1122" s="12"/>
      <c r="V1122" s="12"/>
      <c r="W1122" s="12"/>
      <c r="X1122" s="12">
        <v>80000</v>
      </c>
      <c r="Y1122" s="12">
        <f t="shared" si="20"/>
        <v>1126419.73</v>
      </c>
    </row>
    <row r="1123" spans="1:25" ht="15">
      <c r="A1123">
        <v>2013</v>
      </c>
      <c r="B1123" t="s">
        <v>573</v>
      </c>
      <c r="C1123" t="s">
        <v>7</v>
      </c>
      <c r="D1123" t="s">
        <v>54</v>
      </c>
      <c r="E1123" t="s">
        <v>79</v>
      </c>
      <c r="F1123" t="s">
        <v>81</v>
      </c>
      <c r="G1123" t="s">
        <v>439</v>
      </c>
      <c r="H1123" t="s">
        <v>54</v>
      </c>
      <c r="I1123" t="s">
        <v>79</v>
      </c>
      <c r="J1123" t="s">
        <v>587</v>
      </c>
      <c r="K1123"/>
      <c r="L1123"/>
      <c r="M1123" s="12"/>
      <c r="N1123" s="12">
        <v>730361.05</v>
      </c>
      <c r="O1123" s="12">
        <v>507372.72</v>
      </c>
      <c r="P1123" s="12">
        <v>11368.96</v>
      </c>
      <c r="Q1123" s="12">
        <v>1112675.6000000001</v>
      </c>
      <c r="R1123" s="12">
        <v>373170.73</v>
      </c>
      <c r="S1123" s="12">
        <v>2090646.9</v>
      </c>
      <c r="T1123" s="12"/>
      <c r="U1123" s="12"/>
      <c r="V1123" s="12"/>
      <c r="W1123" s="12"/>
      <c r="X1123" s="12"/>
      <c r="Y1123" s="12">
        <f t="shared" si="20"/>
        <v>4825595.96</v>
      </c>
    </row>
    <row r="1124" spans="1:25" ht="15">
      <c r="A1124">
        <v>2013</v>
      </c>
      <c r="B1124" t="s">
        <v>573</v>
      </c>
      <c r="C1124" t="s">
        <v>7</v>
      </c>
      <c r="D1124" t="s">
        <v>54</v>
      </c>
      <c r="E1124" t="s">
        <v>55</v>
      </c>
      <c r="F1124" t="s">
        <v>78</v>
      </c>
      <c r="G1124" t="s">
        <v>439</v>
      </c>
      <c r="H1124" t="s">
        <v>54</v>
      </c>
      <c r="I1124" t="s">
        <v>55</v>
      </c>
      <c r="J1124" t="s">
        <v>56</v>
      </c>
      <c r="K1124"/>
      <c r="L1124"/>
      <c r="M1124" s="12">
        <v>1781.85</v>
      </c>
      <c r="N1124" s="12">
        <v>158.19999999999999</v>
      </c>
      <c r="O1124" s="12">
        <v>59.59</v>
      </c>
      <c r="P1124" s="12">
        <v>52.03</v>
      </c>
      <c r="Q1124" s="12">
        <v>397.09</v>
      </c>
      <c r="R1124" s="12"/>
      <c r="S1124" s="12">
        <v>275.54000000000002</v>
      </c>
      <c r="T1124" s="12">
        <v>1278.98</v>
      </c>
      <c r="U1124" s="12">
        <v>22.09</v>
      </c>
      <c r="V1124" s="12">
        <v>305.48</v>
      </c>
      <c r="W1124" s="12">
        <v>1000</v>
      </c>
      <c r="X1124" s="12"/>
      <c r="Y1124" s="12">
        <f t="shared" si="20"/>
        <v>5330.85</v>
      </c>
    </row>
    <row r="1125" spans="1:25" ht="15">
      <c r="A1125">
        <v>2013</v>
      </c>
      <c r="B1125" t="s">
        <v>573</v>
      </c>
      <c r="C1125" t="s">
        <v>7</v>
      </c>
      <c r="D1125" t="s">
        <v>54</v>
      </c>
      <c r="E1125" t="s">
        <v>55</v>
      </c>
      <c r="F1125" t="s">
        <v>78</v>
      </c>
      <c r="G1125" t="s">
        <v>439</v>
      </c>
      <c r="H1125" t="s">
        <v>54</v>
      </c>
      <c r="I1125" t="s">
        <v>55</v>
      </c>
      <c r="J1125" t="s">
        <v>203</v>
      </c>
      <c r="K1125"/>
      <c r="L1125"/>
      <c r="M1125" s="12">
        <v>1700</v>
      </c>
      <c r="N1125" s="12">
        <v>6602</v>
      </c>
      <c r="O1125" s="12">
        <v>1300</v>
      </c>
      <c r="P1125" s="12">
        <v>5400</v>
      </c>
      <c r="Q1125" s="12"/>
      <c r="R1125" s="12"/>
      <c r="S1125" s="12"/>
      <c r="T1125" s="12">
        <v>900</v>
      </c>
      <c r="U1125" s="12"/>
      <c r="V1125" s="12">
        <v>77758.14</v>
      </c>
      <c r="W1125" s="12">
        <v>87000</v>
      </c>
      <c r="X1125" s="12">
        <v>18000</v>
      </c>
      <c r="Y1125" s="12">
        <f t="shared" si="20"/>
        <v>198660.14</v>
      </c>
    </row>
    <row r="1126" spans="1:25" ht="15">
      <c r="A1126">
        <v>2013</v>
      </c>
      <c r="B1126" t="s">
        <v>573</v>
      </c>
      <c r="C1126" t="s">
        <v>7</v>
      </c>
      <c r="D1126" t="s">
        <v>54</v>
      </c>
      <c r="E1126" t="s">
        <v>55</v>
      </c>
      <c r="F1126" t="s">
        <v>85</v>
      </c>
      <c r="G1126" t="s">
        <v>439</v>
      </c>
      <c r="H1126" t="s">
        <v>54</v>
      </c>
      <c r="I1126" t="s">
        <v>55</v>
      </c>
      <c r="J1126" t="s">
        <v>56</v>
      </c>
      <c r="K1126"/>
      <c r="L1126"/>
      <c r="M1126" s="12">
        <v>29.77</v>
      </c>
      <c r="N1126" s="12">
        <v>400.15</v>
      </c>
      <c r="O1126" s="12">
        <v>1786.23</v>
      </c>
      <c r="P1126" s="12">
        <v>928.22</v>
      </c>
      <c r="Q1126" s="12">
        <v>28.27</v>
      </c>
      <c r="R1126" s="12">
        <v>246.46</v>
      </c>
      <c r="S1126" s="12"/>
      <c r="T1126" s="12">
        <v>479.35</v>
      </c>
      <c r="U1126" s="12">
        <v>114.82</v>
      </c>
      <c r="V1126" s="12"/>
      <c r="W1126" s="12">
        <v>600</v>
      </c>
      <c r="X1126" s="12">
        <v>600</v>
      </c>
      <c r="Y1126" s="12">
        <f t="shared" si="20"/>
        <v>5213.2700000000004</v>
      </c>
    </row>
    <row r="1127" spans="1:25" ht="15">
      <c r="A1127">
        <v>2013</v>
      </c>
      <c r="B1127" t="s">
        <v>573</v>
      </c>
      <c r="C1127" t="s">
        <v>7</v>
      </c>
      <c r="D1127" t="s">
        <v>54</v>
      </c>
      <c r="E1127" t="s">
        <v>55</v>
      </c>
      <c r="F1127" t="s">
        <v>85</v>
      </c>
      <c r="G1127" t="s">
        <v>439</v>
      </c>
      <c r="H1127" t="s">
        <v>54</v>
      </c>
      <c r="I1127" t="s">
        <v>55</v>
      </c>
      <c r="J1127" t="s">
        <v>203</v>
      </c>
      <c r="K1127"/>
      <c r="L1127"/>
      <c r="M1127" s="12">
        <v>29877</v>
      </c>
      <c r="N1127" s="12">
        <v>56675</v>
      </c>
      <c r="O1127" s="12">
        <v>48370</v>
      </c>
      <c r="P1127" s="12">
        <v>3500</v>
      </c>
      <c r="Q1127" s="12">
        <v>3400</v>
      </c>
      <c r="R1127" s="12">
        <v>2100</v>
      </c>
      <c r="S1127" s="12"/>
      <c r="T1127" s="12"/>
      <c r="U1127" s="12"/>
      <c r="V1127" s="12"/>
      <c r="W1127" s="12">
        <v>50000</v>
      </c>
      <c r="X1127" s="12"/>
      <c r="Y1127" s="12">
        <f t="shared" si="20"/>
        <v>193922</v>
      </c>
    </row>
    <row r="1128" spans="1:25" ht="15">
      <c r="A1128">
        <v>2013</v>
      </c>
      <c r="B1128" t="s">
        <v>573</v>
      </c>
      <c r="C1128" t="s">
        <v>7</v>
      </c>
      <c r="D1128" t="s">
        <v>54</v>
      </c>
      <c r="E1128" t="s">
        <v>55</v>
      </c>
      <c r="F1128" t="s">
        <v>234</v>
      </c>
      <c r="G1128" t="s">
        <v>439</v>
      </c>
      <c r="H1128" t="s">
        <v>54</v>
      </c>
      <c r="I1128" t="s">
        <v>55</v>
      </c>
      <c r="J1128" t="s">
        <v>56</v>
      </c>
      <c r="K1128"/>
      <c r="L1128"/>
      <c r="M1128" s="12"/>
      <c r="N1128" s="12"/>
      <c r="O1128" s="12">
        <v>40.65</v>
      </c>
      <c r="P1128" s="12"/>
      <c r="Q1128" s="12"/>
      <c r="R1128" s="12"/>
      <c r="S1128" s="12"/>
      <c r="T1128" s="12"/>
      <c r="U1128" s="12"/>
      <c r="V1128" s="12"/>
      <c r="W1128" s="12"/>
      <c r="X1128" s="12"/>
      <c r="Y1128" s="12">
        <f t="shared" si="20"/>
        <v>40.65</v>
      </c>
    </row>
    <row r="1129" spans="1:25" ht="15">
      <c r="A1129">
        <v>2013</v>
      </c>
      <c r="B1129" t="s">
        <v>573</v>
      </c>
      <c r="C1129" t="s">
        <v>7</v>
      </c>
      <c r="D1129" t="s">
        <v>54</v>
      </c>
      <c r="E1129" t="s">
        <v>55</v>
      </c>
      <c r="F1129" t="s">
        <v>81</v>
      </c>
      <c r="G1129" t="s">
        <v>439</v>
      </c>
      <c r="H1129" t="s">
        <v>54</v>
      </c>
      <c r="I1129" t="s">
        <v>55</v>
      </c>
      <c r="J1129" t="s">
        <v>56</v>
      </c>
      <c r="K1129"/>
      <c r="L1129"/>
      <c r="M1129" s="12"/>
      <c r="N1129" s="12"/>
      <c r="O1129" s="12"/>
      <c r="P1129" s="12"/>
      <c r="Q1129" s="12">
        <v>37.299999999999997</v>
      </c>
      <c r="R1129" s="12"/>
      <c r="S1129" s="12">
        <v>363.55</v>
      </c>
      <c r="T1129" s="12"/>
      <c r="U1129" s="12"/>
      <c r="V1129" s="12"/>
      <c r="W1129" s="12"/>
      <c r="X1129" s="12"/>
      <c r="Y1129" s="12">
        <f t="shared" si="20"/>
        <v>400.85</v>
      </c>
    </row>
    <row r="1130" spans="1:25" ht="15">
      <c r="A1130">
        <v>2013</v>
      </c>
      <c r="B1130" t="s">
        <v>573</v>
      </c>
      <c r="C1130" t="s">
        <v>7</v>
      </c>
      <c r="D1130" t="s">
        <v>54</v>
      </c>
      <c r="E1130" t="s">
        <v>55</v>
      </c>
      <c r="F1130" t="s">
        <v>81</v>
      </c>
      <c r="G1130" t="s">
        <v>439</v>
      </c>
      <c r="H1130" t="s">
        <v>54</v>
      </c>
      <c r="I1130" t="s">
        <v>55</v>
      </c>
      <c r="J1130" t="s">
        <v>203</v>
      </c>
      <c r="K1130"/>
      <c r="L1130"/>
      <c r="M1130" s="12"/>
      <c r="N1130" s="12">
        <v>510</v>
      </c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>
        <f t="shared" si="20"/>
        <v>510</v>
      </c>
    </row>
    <row r="1131" spans="1:25" ht="15">
      <c r="A1131">
        <v>2013</v>
      </c>
      <c r="B1131" t="s">
        <v>573</v>
      </c>
      <c r="C1131" t="s">
        <v>7</v>
      </c>
      <c r="D1131" t="s">
        <v>54</v>
      </c>
      <c r="E1131" t="s">
        <v>55</v>
      </c>
      <c r="F1131" t="s">
        <v>213</v>
      </c>
      <c r="G1131" t="s">
        <v>439</v>
      </c>
      <c r="H1131" t="s">
        <v>54</v>
      </c>
      <c r="I1131" t="s">
        <v>55</v>
      </c>
      <c r="J1131" t="s">
        <v>219</v>
      </c>
      <c r="K1131"/>
      <c r="L1131"/>
      <c r="M1131" s="12"/>
      <c r="N1131" s="12">
        <v>55658</v>
      </c>
      <c r="O1131" s="12">
        <v>76078.679999999993</v>
      </c>
      <c r="P1131" s="12">
        <v>9048</v>
      </c>
      <c r="Q1131" s="12">
        <v>41719.599999999999</v>
      </c>
      <c r="R1131" s="12">
        <v>3380</v>
      </c>
      <c r="S1131" s="12">
        <v>20312</v>
      </c>
      <c r="T1131" s="12"/>
      <c r="U1131" s="12"/>
      <c r="V1131" s="12"/>
      <c r="W1131" s="12">
        <v>300000</v>
      </c>
      <c r="X1131" s="12">
        <v>180000</v>
      </c>
      <c r="Y1131" s="12">
        <f t="shared" si="20"/>
        <v>686196.28</v>
      </c>
    </row>
    <row r="1132" spans="1:25" ht="15">
      <c r="A1132">
        <v>2013</v>
      </c>
      <c r="B1132" t="s">
        <v>573</v>
      </c>
      <c r="C1132" t="s">
        <v>7</v>
      </c>
      <c r="D1132" t="s">
        <v>54</v>
      </c>
      <c r="E1132" t="s">
        <v>55</v>
      </c>
      <c r="F1132" t="s">
        <v>239</v>
      </c>
      <c r="G1132" t="s">
        <v>439</v>
      </c>
      <c r="H1132" t="s">
        <v>54</v>
      </c>
      <c r="I1132" t="s">
        <v>55</v>
      </c>
      <c r="J1132" t="s">
        <v>56</v>
      </c>
      <c r="K1132"/>
      <c r="L1132"/>
      <c r="M1132" s="12">
        <v>3719.45</v>
      </c>
      <c r="N1132" s="12">
        <v>566.58000000000004</v>
      </c>
      <c r="O1132" s="12">
        <v>217.99</v>
      </c>
      <c r="P1132" s="12">
        <v>595.83000000000004</v>
      </c>
      <c r="Q1132" s="12">
        <v>28.27</v>
      </c>
      <c r="R1132" s="12">
        <v>168.14</v>
      </c>
      <c r="S1132" s="12">
        <v>787.6</v>
      </c>
      <c r="T1132" s="12">
        <v>648.61</v>
      </c>
      <c r="U1132" s="12">
        <v>250.03</v>
      </c>
      <c r="V1132" s="12">
        <v>50.07</v>
      </c>
      <c r="W1132" s="12">
        <v>1000</v>
      </c>
      <c r="X1132" s="12">
        <v>1000</v>
      </c>
      <c r="Y1132" s="12">
        <f t="shared" si="20"/>
        <v>9032.57</v>
      </c>
    </row>
    <row r="1133" spans="1:25" ht="15">
      <c r="A1133">
        <v>2013</v>
      </c>
      <c r="B1133" t="s">
        <v>573</v>
      </c>
      <c r="C1133" t="s">
        <v>7</v>
      </c>
      <c r="D1133" t="s">
        <v>54</v>
      </c>
      <c r="E1133" t="s">
        <v>55</v>
      </c>
      <c r="F1133" t="s">
        <v>239</v>
      </c>
      <c r="G1133" t="s">
        <v>439</v>
      </c>
      <c r="H1133" t="s">
        <v>54</v>
      </c>
      <c r="I1133" t="s">
        <v>55</v>
      </c>
      <c r="J1133" t="s">
        <v>243</v>
      </c>
      <c r="K1133"/>
      <c r="L1133"/>
      <c r="M1133" s="12">
        <v>221.76</v>
      </c>
      <c r="N1133" s="12">
        <v>4620</v>
      </c>
      <c r="O1133" s="12">
        <v>3080</v>
      </c>
      <c r="P1133" s="12">
        <v>1540</v>
      </c>
      <c r="Q1133" s="12"/>
      <c r="R1133" s="12"/>
      <c r="S1133" s="12">
        <v>1754</v>
      </c>
      <c r="T1133" s="12">
        <v>2960</v>
      </c>
      <c r="U1133" s="12">
        <v>1540</v>
      </c>
      <c r="V1133" s="12">
        <v>308</v>
      </c>
      <c r="W1133" s="12">
        <v>3300</v>
      </c>
      <c r="X1133" s="12">
        <v>3500</v>
      </c>
      <c r="Y1133" s="12">
        <f t="shared" si="20"/>
        <v>22823.760000000002</v>
      </c>
    </row>
    <row r="1134" spans="1:25" ht="15">
      <c r="A1134">
        <v>2013</v>
      </c>
      <c r="B1134" t="s">
        <v>573</v>
      </c>
      <c r="C1134" t="s">
        <v>7</v>
      </c>
      <c r="D1134" t="s">
        <v>54</v>
      </c>
      <c r="E1134" t="s">
        <v>55</v>
      </c>
      <c r="F1134" t="s">
        <v>8</v>
      </c>
      <c r="G1134" t="s">
        <v>439</v>
      </c>
      <c r="H1134" t="s">
        <v>54</v>
      </c>
      <c r="I1134" t="s">
        <v>55</v>
      </c>
      <c r="J1134" t="s">
        <v>56</v>
      </c>
      <c r="K1134"/>
      <c r="L1134"/>
      <c r="M1134" s="12"/>
      <c r="N1134" s="12">
        <v>2626.13</v>
      </c>
      <c r="O1134" s="12">
        <v>3634.18</v>
      </c>
      <c r="P1134" s="12"/>
      <c r="Q1134" s="12">
        <v>31.97</v>
      </c>
      <c r="R1134" s="12"/>
      <c r="S1134" s="12"/>
      <c r="T1134" s="12"/>
      <c r="U1134" s="12"/>
      <c r="V1134" s="12"/>
      <c r="W1134" s="12"/>
      <c r="X1134" s="12"/>
      <c r="Y1134" s="12">
        <f t="shared" si="20"/>
        <v>6292.28</v>
      </c>
    </row>
    <row r="1135" spans="1:25" ht="15">
      <c r="A1135">
        <v>2013</v>
      </c>
      <c r="B1135" t="s">
        <v>573</v>
      </c>
      <c r="C1135" t="s">
        <v>7</v>
      </c>
      <c r="D1135" t="s">
        <v>149</v>
      </c>
      <c r="E1135" t="s">
        <v>149</v>
      </c>
      <c r="F1135" t="s">
        <v>236</v>
      </c>
      <c r="G1135" t="s">
        <v>439</v>
      </c>
      <c r="H1135" t="s">
        <v>149</v>
      </c>
      <c r="I1135" t="s">
        <v>149</v>
      </c>
      <c r="J1135" t="s">
        <v>416</v>
      </c>
      <c r="K1135"/>
      <c r="L1135"/>
      <c r="M1135" s="12"/>
      <c r="N1135" s="12">
        <v>597.67999999999995</v>
      </c>
      <c r="O1135" s="12"/>
      <c r="P1135" s="12"/>
      <c r="Q1135" s="12"/>
      <c r="R1135" s="12"/>
      <c r="S1135" s="12"/>
      <c r="T1135" s="12">
        <v>1000</v>
      </c>
      <c r="U1135" s="12"/>
      <c r="V1135" s="12"/>
      <c r="W1135" s="12">
        <v>900</v>
      </c>
      <c r="X1135" s="12">
        <v>900</v>
      </c>
      <c r="Y1135" s="12">
        <f t="shared" si="20"/>
        <v>3397.68</v>
      </c>
    </row>
    <row r="1136" spans="1:25" ht="15">
      <c r="A1136">
        <v>2013</v>
      </c>
      <c r="B1136" t="s">
        <v>573</v>
      </c>
      <c r="C1136" t="s">
        <v>7</v>
      </c>
      <c r="D1136" t="s">
        <v>149</v>
      </c>
      <c r="E1136" t="s">
        <v>149</v>
      </c>
      <c r="F1136" t="s">
        <v>236</v>
      </c>
      <c r="G1136" t="s">
        <v>439</v>
      </c>
      <c r="H1136" t="s">
        <v>149</v>
      </c>
      <c r="I1136" t="s">
        <v>149</v>
      </c>
      <c r="J1136" t="s">
        <v>417</v>
      </c>
      <c r="K1136"/>
      <c r="L1136"/>
      <c r="M1136" s="12"/>
      <c r="N1136" s="12">
        <v>3204.1</v>
      </c>
      <c r="O1136" s="12"/>
      <c r="P1136" s="12"/>
      <c r="Q1136" s="12"/>
      <c r="R1136" s="12"/>
      <c r="S1136" s="12"/>
      <c r="T1136" s="12">
        <v>5801.2</v>
      </c>
      <c r="U1136" s="12"/>
      <c r="V1136" s="12"/>
      <c r="W1136" s="12">
        <v>6000</v>
      </c>
      <c r="X1136" s="12">
        <v>6000</v>
      </c>
      <c r="Y1136" s="12">
        <f t="shared" si="20"/>
        <v>21005.3</v>
      </c>
    </row>
    <row r="1137" spans="1:25" ht="15">
      <c r="A1137">
        <v>2013</v>
      </c>
      <c r="B1137" t="s">
        <v>573</v>
      </c>
      <c r="C1137" t="s">
        <v>7</v>
      </c>
      <c r="D1137" t="s">
        <v>149</v>
      </c>
      <c r="E1137" t="s">
        <v>149</v>
      </c>
      <c r="F1137" t="s">
        <v>236</v>
      </c>
      <c r="G1137" t="s">
        <v>439</v>
      </c>
      <c r="H1137" t="s">
        <v>149</v>
      </c>
      <c r="I1137" t="s">
        <v>149</v>
      </c>
      <c r="J1137" t="s">
        <v>285</v>
      </c>
      <c r="K1137"/>
      <c r="L1137"/>
      <c r="M1137" s="12"/>
      <c r="N1137" s="12">
        <v>2050.84</v>
      </c>
      <c r="O1137" s="12">
        <v>1264.82</v>
      </c>
      <c r="P1137" s="12"/>
      <c r="Q1137" s="12"/>
      <c r="R1137" s="12"/>
      <c r="S1137" s="12"/>
      <c r="T1137" s="12"/>
      <c r="U1137" s="12"/>
      <c r="V1137" s="12"/>
      <c r="W1137" s="12">
        <v>2569</v>
      </c>
      <c r="X1137" s="12">
        <v>2569</v>
      </c>
      <c r="Y1137" s="12">
        <f t="shared" si="20"/>
        <v>8453.66</v>
      </c>
    </row>
    <row r="1138" spans="1:25" ht="15">
      <c r="A1138">
        <v>2013</v>
      </c>
      <c r="B1138" t="s">
        <v>573</v>
      </c>
      <c r="C1138" t="s">
        <v>7</v>
      </c>
      <c r="D1138" t="s">
        <v>149</v>
      </c>
      <c r="E1138" t="s">
        <v>149</v>
      </c>
      <c r="F1138" t="s">
        <v>236</v>
      </c>
      <c r="G1138" t="s">
        <v>439</v>
      </c>
      <c r="H1138" t="s">
        <v>149</v>
      </c>
      <c r="I1138" t="s">
        <v>149</v>
      </c>
      <c r="J1138" t="s">
        <v>286</v>
      </c>
      <c r="K1138"/>
      <c r="L1138"/>
      <c r="M1138" s="12">
        <v>23284.27</v>
      </c>
      <c r="N1138" s="12"/>
      <c r="O1138" s="12">
        <v>23284.27</v>
      </c>
      <c r="P1138" s="12">
        <v>23284.27</v>
      </c>
      <c r="Q1138" s="12"/>
      <c r="R1138" s="12">
        <v>23284.27</v>
      </c>
      <c r="S1138" s="12">
        <v>36328.01</v>
      </c>
      <c r="T1138" s="12">
        <v>31207.58</v>
      </c>
      <c r="U1138" s="12">
        <v>33207.58</v>
      </c>
      <c r="V1138" s="12">
        <v>33207.58</v>
      </c>
      <c r="W1138" s="12">
        <v>35000</v>
      </c>
      <c r="X1138" s="12">
        <v>35000</v>
      </c>
      <c r="Y1138" s="12">
        <f t="shared" si="20"/>
        <v>297087.83</v>
      </c>
    </row>
    <row r="1139" spans="1:25" ht="15">
      <c r="A1139">
        <v>2013</v>
      </c>
      <c r="B1139" t="s">
        <v>573</v>
      </c>
      <c r="C1139" t="s">
        <v>7</v>
      </c>
      <c r="D1139" t="s">
        <v>149</v>
      </c>
      <c r="E1139" t="s">
        <v>149</v>
      </c>
      <c r="F1139" t="s">
        <v>236</v>
      </c>
      <c r="G1139" t="s">
        <v>439</v>
      </c>
      <c r="H1139" t="s">
        <v>149</v>
      </c>
      <c r="I1139" t="s">
        <v>149</v>
      </c>
      <c r="J1139" t="s">
        <v>288</v>
      </c>
      <c r="K1139"/>
      <c r="L1139"/>
      <c r="M1139" s="12">
        <v>59553</v>
      </c>
      <c r="N1139" s="12">
        <v>185184</v>
      </c>
      <c r="O1139" s="12">
        <v>53796</v>
      </c>
      <c r="P1139" s="12">
        <v>53796</v>
      </c>
      <c r="Q1139" s="12"/>
      <c r="R1139" s="12">
        <v>58796</v>
      </c>
      <c r="S1139" s="12">
        <v>53796</v>
      </c>
      <c r="T1139" s="12">
        <v>55796</v>
      </c>
      <c r="U1139" s="12">
        <v>57081</v>
      </c>
      <c r="V1139" s="12">
        <v>58796</v>
      </c>
      <c r="W1139" s="12">
        <v>55000</v>
      </c>
      <c r="X1139" s="12">
        <v>55000</v>
      </c>
      <c r="Y1139" s="12">
        <f t="shared" si="20"/>
        <v>746594</v>
      </c>
    </row>
    <row r="1140" spans="1:25" ht="15">
      <c r="A1140">
        <v>2013</v>
      </c>
      <c r="B1140" t="s">
        <v>573</v>
      </c>
      <c r="C1140" t="s">
        <v>7</v>
      </c>
      <c r="D1140" t="s">
        <v>149</v>
      </c>
      <c r="E1140" t="s">
        <v>149</v>
      </c>
      <c r="F1140" t="s">
        <v>236</v>
      </c>
      <c r="G1140" t="s">
        <v>439</v>
      </c>
      <c r="H1140" t="s">
        <v>149</v>
      </c>
      <c r="I1140" t="s">
        <v>149</v>
      </c>
      <c r="J1140" t="s">
        <v>588</v>
      </c>
      <c r="K1140"/>
      <c r="L1140"/>
      <c r="M1140" s="12"/>
      <c r="N1140" s="12"/>
      <c r="O1140" s="12"/>
      <c r="P1140" s="12"/>
      <c r="Q1140" s="12"/>
      <c r="R1140" s="12">
        <v>1514.76</v>
      </c>
      <c r="S1140" s="12">
        <v>131.36000000000001</v>
      </c>
      <c r="T1140" s="12"/>
      <c r="U1140" s="12"/>
      <c r="V1140" s="12"/>
      <c r="W1140" s="12"/>
      <c r="X1140" s="12"/>
      <c r="Y1140" s="12">
        <f t="shared" si="20"/>
        <v>1646.12</v>
      </c>
    </row>
    <row r="1141" spans="1:25" ht="15">
      <c r="A1141">
        <v>2013</v>
      </c>
      <c r="B1141" t="s">
        <v>573</v>
      </c>
      <c r="C1141" t="s">
        <v>7</v>
      </c>
      <c r="D1141" t="s">
        <v>149</v>
      </c>
      <c r="E1141" t="s">
        <v>149</v>
      </c>
      <c r="F1141" t="s">
        <v>236</v>
      </c>
      <c r="G1141" t="s">
        <v>439</v>
      </c>
      <c r="H1141" t="s">
        <v>149</v>
      </c>
      <c r="I1141" t="s">
        <v>149</v>
      </c>
      <c r="J1141" t="s">
        <v>287</v>
      </c>
      <c r="K1141"/>
      <c r="L1141"/>
      <c r="M1141" s="12">
        <v>88845</v>
      </c>
      <c r="N1141" s="12">
        <v>32000</v>
      </c>
      <c r="O1141" s="12">
        <v>8000</v>
      </c>
      <c r="P1141" s="12">
        <v>38300</v>
      </c>
      <c r="Q1141" s="12"/>
      <c r="R1141" s="12">
        <v>88074</v>
      </c>
      <c r="S1141" s="12">
        <v>89000</v>
      </c>
      <c r="T1141" s="12">
        <v>38200</v>
      </c>
      <c r="U1141" s="12">
        <v>27600</v>
      </c>
      <c r="V1141" s="12">
        <v>38350</v>
      </c>
      <c r="W1141" s="12">
        <v>50000</v>
      </c>
      <c r="X1141" s="12">
        <v>50000</v>
      </c>
      <c r="Y1141" s="12">
        <f t="shared" si="20"/>
        <v>548369</v>
      </c>
    </row>
    <row r="1142" spans="1:25" ht="15">
      <c r="A1142">
        <v>2013</v>
      </c>
      <c r="B1142" t="s">
        <v>573</v>
      </c>
      <c r="C1142" t="s">
        <v>7</v>
      </c>
      <c r="D1142" t="s">
        <v>149</v>
      </c>
      <c r="E1142" t="s">
        <v>149</v>
      </c>
      <c r="F1142" t="s">
        <v>236</v>
      </c>
      <c r="G1142" t="s">
        <v>439</v>
      </c>
      <c r="H1142" t="s">
        <v>149</v>
      </c>
      <c r="I1142" t="s">
        <v>149</v>
      </c>
      <c r="J1142" t="s">
        <v>589</v>
      </c>
      <c r="K1142"/>
      <c r="L1142"/>
      <c r="M1142" s="12"/>
      <c r="N1142" s="12">
        <v>1108.1300000000001</v>
      </c>
      <c r="O1142" s="12"/>
      <c r="P1142" s="12"/>
      <c r="Q1142" s="12"/>
      <c r="R1142" s="12"/>
      <c r="S1142" s="12"/>
      <c r="T1142" s="12">
        <v>30181.14</v>
      </c>
      <c r="U1142" s="12">
        <v>2000</v>
      </c>
      <c r="V1142" s="12">
        <v>126.13</v>
      </c>
      <c r="W1142" s="12"/>
      <c r="X1142" s="12"/>
      <c r="Y1142" s="12">
        <f t="shared" si="20"/>
        <v>33415.4</v>
      </c>
    </row>
    <row r="1143" spans="1:25" ht="15">
      <c r="A1143">
        <v>2013</v>
      </c>
      <c r="B1143" t="s">
        <v>573</v>
      </c>
      <c r="C1143" t="s">
        <v>7</v>
      </c>
      <c r="D1143" t="s">
        <v>149</v>
      </c>
      <c r="E1143" t="s">
        <v>149</v>
      </c>
      <c r="F1143" t="s">
        <v>236</v>
      </c>
      <c r="G1143" t="s">
        <v>439</v>
      </c>
      <c r="H1143" t="s">
        <v>149</v>
      </c>
      <c r="I1143" t="s">
        <v>149</v>
      </c>
      <c r="J1143" t="s">
        <v>418</v>
      </c>
      <c r="K1143"/>
      <c r="L1143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>
        <v>600</v>
      </c>
      <c r="X1143" s="12">
        <v>600</v>
      </c>
      <c r="Y1143" s="12">
        <f t="shared" si="20"/>
        <v>1200</v>
      </c>
    </row>
    <row r="1144" spans="1:25" ht="15">
      <c r="A1144">
        <v>2013</v>
      </c>
      <c r="B1144" t="s">
        <v>573</v>
      </c>
      <c r="C1144" t="s">
        <v>7</v>
      </c>
      <c r="D1144" t="s">
        <v>149</v>
      </c>
      <c r="E1144" t="s">
        <v>149</v>
      </c>
      <c r="F1144" t="s">
        <v>220</v>
      </c>
      <c r="G1144" t="s">
        <v>439</v>
      </c>
      <c r="H1144" t="s">
        <v>149</v>
      </c>
      <c r="I1144" t="s">
        <v>149</v>
      </c>
      <c r="J1144" t="s">
        <v>335</v>
      </c>
      <c r="K1144"/>
      <c r="L1144"/>
      <c r="M1144" s="12"/>
      <c r="N1144" s="12"/>
      <c r="O1144" s="12"/>
      <c r="P1144" s="12"/>
      <c r="Q1144" s="12"/>
      <c r="R1144" s="12"/>
      <c r="S1144" s="12">
        <v>16000</v>
      </c>
      <c r="T1144" s="12">
        <v>2490</v>
      </c>
      <c r="U1144" s="12"/>
      <c r="V1144" s="12">
        <v>1506</v>
      </c>
      <c r="W1144" s="12"/>
      <c r="X1144" s="12"/>
      <c r="Y1144" s="12">
        <f t="shared" si="20"/>
        <v>19996</v>
      </c>
    </row>
    <row r="1145" spans="1:25" ht="15">
      <c r="A1145">
        <v>2013</v>
      </c>
      <c r="B1145" t="s">
        <v>573</v>
      </c>
      <c r="C1145" t="s">
        <v>7</v>
      </c>
      <c r="D1145" t="s">
        <v>149</v>
      </c>
      <c r="E1145" t="s">
        <v>149</v>
      </c>
      <c r="F1145" t="s">
        <v>234</v>
      </c>
      <c r="G1145" t="s">
        <v>439</v>
      </c>
      <c r="H1145" t="s">
        <v>149</v>
      </c>
      <c r="I1145" t="s">
        <v>149</v>
      </c>
      <c r="J1145" t="s">
        <v>335</v>
      </c>
      <c r="K1145"/>
      <c r="L1145"/>
      <c r="M1145" s="12"/>
      <c r="N1145" s="12"/>
      <c r="O1145" s="12"/>
      <c r="P1145" s="12"/>
      <c r="Q1145" s="12"/>
      <c r="R1145" s="12"/>
      <c r="S1145" s="12"/>
      <c r="T1145" s="12"/>
      <c r="U1145" s="12">
        <v>7675</v>
      </c>
      <c r="V1145" s="12"/>
      <c r="W1145" s="12"/>
      <c r="X1145" s="12"/>
      <c r="Y1145" s="12">
        <f t="shared" si="20"/>
        <v>7675</v>
      </c>
    </row>
    <row r="1146" spans="1:25" ht="15">
      <c r="A1146">
        <v>2013</v>
      </c>
      <c r="B1146" t="s">
        <v>573</v>
      </c>
      <c r="C1146" t="s">
        <v>7</v>
      </c>
      <c r="D1146" t="s">
        <v>149</v>
      </c>
      <c r="E1146" t="s">
        <v>149</v>
      </c>
      <c r="F1146" t="s">
        <v>149</v>
      </c>
      <c r="G1146" t="s">
        <v>439</v>
      </c>
      <c r="H1146" t="s">
        <v>149</v>
      </c>
      <c r="I1146" t="s">
        <v>149</v>
      </c>
      <c r="J1146" t="s">
        <v>416</v>
      </c>
      <c r="K1146"/>
      <c r="L1146"/>
      <c r="M1146" s="12"/>
      <c r="N1146" s="12"/>
      <c r="O1146" s="12"/>
      <c r="P1146" s="12"/>
      <c r="Q1146" s="12">
        <v>633.57000000000005</v>
      </c>
      <c r="R1146" s="12"/>
      <c r="S1146" s="12"/>
      <c r="T1146" s="12"/>
      <c r="U1146" s="12"/>
      <c r="V1146" s="12"/>
      <c r="W1146" s="12"/>
      <c r="X1146" s="12"/>
      <c r="Y1146" s="12">
        <f t="shared" si="20"/>
        <v>633.57000000000005</v>
      </c>
    </row>
    <row r="1147" spans="1:25" ht="15">
      <c r="A1147">
        <v>2013</v>
      </c>
      <c r="B1147" t="s">
        <v>573</v>
      </c>
      <c r="C1147" t="s">
        <v>7</v>
      </c>
      <c r="D1147" t="s">
        <v>149</v>
      </c>
      <c r="E1147" t="s">
        <v>149</v>
      </c>
      <c r="F1147" t="s">
        <v>149</v>
      </c>
      <c r="G1147" t="s">
        <v>439</v>
      </c>
      <c r="H1147" t="s">
        <v>149</v>
      </c>
      <c r="I1147" t="s">
        <v>149</v>
      </c>
      <c r="J1147" t="s">
        <v>417</v>
      </c>
      <c r="K1147"/>
      <c r="L1147"/>
      <c r="M1147" s="12"/>
      <c r="N1147" s="12"/>
      <c r="O1147" s="12"/>
      <c r="P1147" s="12"/>
      <c r="Q1147" s="12">
        <v>4106.5</v>
      </c>
      <c r="R1147" s="12"/>
      <c r="S1147" s="12"/>
      <c r="T1147" s="12"/>
      <c r="U1147" s="12"/>
      <c r="V1147" s="12"/>
      <c r="W1147" s="12"/>
      <c r="X1147" s="12"/>
      <c r="Y1147" s="12">
        <f t="shared" si="20"/>
        <v>4106.5</v>
      </c>
    </row>
    <row r="1148" spans="1:25" ht="15">
      <c r="A1148">
        <v>2013</v>
      </c>
      <c r="B1148" t="s">
        <v>573</v>
      </c>
      <c r="C1148" t="s">
        <v>7</v>
      </c>
      <c r="D1148" t="s">
        <v>149</v>
      </c>
      <c r="E1148" t="s">
        <v>149</v>
      </c>
      <c r="F1148" t="s">
        <v>149</v>
      </c>
      <c r="G1148" t="s">
        <v>439</v>
      </c>
      <c r="H1148" t="s">
        <v>149</v>
      </c>
      <c r="I1148" t="s">
        <v>149</v>
      </c>
      <c r="J1148" t="s">
        <v>286</v>
      </c>
      <c r="K1148"/>
      <c r="L1148"/>
      <c r="M1148" s="12"/>
      <c r="N1148" s="12"/>
      <c r="O1148" s="12"/>
      <c r="P1148" s="12"/>
      <c r="Q1148" s="12">
        <v>23284.27</v>
      </c>
      <c r="R1148" s="12"/>
      <c r="S1148" s="12"/>
      <c r="T1148" s="12"/>
      <c r="U1148" s="12"/>
      <c r="V1148" s="12"/>
      <c r="W1148" s="12"/>
      <c r="X1148" s="12"/>
      <c r="Y1148" s="12">
        <f t="shared" si="20"/>
        <v>23284.27</v>
      </c>
    </row>
    <row r="1149" spans="1:25" ht="15">
      <c r="A1149">
        <v>2013</v>
      </c>
      <c r="B1149" t="s">
        <v>573</v>
      </c>
      <c r="C1149" t="s">
        <v>7</v>
      </c>
      <c r="D1149" t="s">
        <v>149</v>
      </c>
      <c r="E1149" t="s">
        <v>149</v>
      </c>
      <c r="F1149" t="s">
        <v>149</v>
      </c>
      <c r="G1149" t="s">
        <v>439</v>
      </c>
      <c r="H1149" t="s">
        <v>149</v>
      </c>
      <c r="I1149" t="s">
        <v>149</v>
      </c>
      <c r="J1149" t="s">
        <v>288</v>
      </c>
      <c r="K1149"/>
      <c r="L1149"/>
      <c r="M1149" s="12"/>
      <c r="N1149" s="12"/>
      <c r="O1149" s="12"/>
      <c r="P1149" s="12"/>
      <c r="Q1149" s="12">
        <v>53796</v>
      </c>
      <c r="R1149" s="12"/>
      <c r="S1149" s="12"/>
      <c r="T1149" s="12"/>
      <c r="U1149" s="12"/>
      <c r="V1149" s="12"/>
      <c r="W1149" s="12"/>
      <c r="X1149" s="12"/>
      <c r="Y1149" s="12">
        <f t="shared" si="20"/>
        <v>53796</v>
      </c>
    </row>
    <row r="1150" spans="1:25" ht="15">
      <c r="A1150">
        <v>2013</v>
      </c>
      <c r="B1150" t="s">
        <v>573</v>
      </c>
      <c r="C1150" t="s">
        <v>7</v>
      </c>
      <c r="D1150" t="s">
        <v>149</v>
      </c>
      <c r="E1150" t="s">
        <v>149</v>
      </c>
      <c r="F1150" t="s">
        <v>149</v>
      </c>
      <c r="G1150" t="s">
        <v>439</v>
      </c>
      <c r="H1150" t="s">
        <v>149</v>
      </c>
      <c r="I1150" t="s">
        <v>149</v>
      </c>
      <c r="J1150" t="s">
        <v>287</v>
      </c>
      <c r="K1150"/>
      <c r="L1150"/>
      <c r="M1150" s="12"/>
      <c r="N1150" s="12"/>
      <c r="O1150" s="12"/>
      <c r="P1150" s="12"/>
      <c r="Q1150" s="12">
        <v>53500</v>
      </c>
      <c r="R1150" s="12"/>
      <c r="S1150" s="12"/>
      <c r="T1150" s="12"/>
      <c r="U1150" s="12"/>
      <c r="V1150" s="12"/>
      <c r="W1150" s="12"/>
      <c r="X1150" s="12"/>
      <c r="Y1150" s="12">
        <f t="shared" si="20"/>
        <v>53500</v>
      </c>
    </row>
    <row r="1151" spans="1:25" ht="15">
      <c r="A1151">
        <v>2013</v>
      </c>
      <c r="B1151" t="s">
        <v>573</v>
      </c>
      <c r="C1151" t="s">
        <v>7</v>
      </c>
      <c r="D1151" t="s">
        <v>149</v>
      </c>
      <c r="E1151" t="s">
        <v>149</v>
      </c>
      <c r="F1151" t="s">
        <v>149</v>
      </c>
      <c r="G1151" t="s">
        <v>439</v>
      </c>
      <c r="H1151" t="s">
        <v>149</v>
      </c>
      <c r="I1151" t="s">
        <v>149</v>
      </c>
      <c r="J1151" t="s">
        <v>335</v>
      </c>
      <c r="K1151"/>
      <c r="L1151"/>
      <c r="M1151" s="12"/>
      <c r="N1151" s="12"/>
      <c r="O1151" s="12"/>
      <c r="P1151" s="12"/>
      <c r="Q1151" s="12">
        <v>64575.519999999997</v>
      </c>
      <c r="R1151" s="12"/>
      <c r="S1151" s="12"/>
      <c r="T1151" s="12"/>
      <c r="U1151" s="12"/>
      <c r="V1151" s="12"/>
      <c r="W1151" s="12"/>
      <c r="X1151" s="12"/>
      <c r="Y1151" s="12">
        <f t="shared" si="20"/>
        <v>64575.519999999997</v>
      </c>
    </row>
    <row r="1152" spans="1:25" ht="15">
      <c r="A1152">
        <v>2013</v>
      </c>
      <c r="B1152" t="s">
        <v>573</v>
      </c>
      <c r="C1152" t="s">
        <v>7</v>
      </c>
      <c r="D1152" t="s">
        <v>149</v>
      </c>
      <c r="E1152" t="s">
        <v>149</v>
      </c>
      <c r="F1152" t="s">
        <v>149</v>
      </c>
      <c r="G1152" t="s">
        <v>439</v>
      </c>
      <c r="H1152" t="s">
        <v>149</v>
      </c>
      <c r="I1152" t="s">
        <v>149</v>
      </c>
      <c r="J1152" t="s">
        <v>589</v>
      </c>
      <c r="K1152"/>
      <c r="L1152"/>
      <c r="M1152" s="12"/>
      <c r="N1152" s="12"/>
      <c r="O1152" s="12"/>
      <c r="P1152" s="12"/>
      <c r="Q1152" s="12">
        <v>435.45</v>
      </c>
      <c r="R1152" s="12"/>
      <c r="S1152" s="12"/>
      <c r="T1152" s="12"/>
      <c r="U1152" s="12"/>
      <c r="V1152" s="12"/>
      <c r="W1152" s="12"/>
      <c r="X1152" s="12"/>
      <c r="Y1152" s="12">
        <f t="shared" si="20"/>
        <v>435.45</v>
      </c>
    </row>
    <row r="1153" spans="1:25" ht="15">
      <c r="A1153">
        <v>2013</v>
      </c>
      <c r="B1153" t="s">
        <v>573</v>
      </c>
      <c r="C1153" t="s">
        <v>7</v>
      </c>
      <c r="D1153" t="s">
        <v>149</v>
      </c>
      <c r="E1153" t="s">
        <v>149</v>
      </c>
      <c r="F1153" t="s">
        <v>260</v>
      </c>
      <c r="G1153" t="s">
        <v>439</v>
      </c>
      <c r="H1153" t="s">
        <v>149</v>
      </c>
      <c r="I1153" t="s">
        <v>149</v>
      </c>
      <c r="J1153" t="s">
        <v>335</v>
      </c>
      <c r="K1153"/>
      <c r="L1153"/>
      <c r="M1153" s="12"/>
      <c r="N1153" s="12"/>
      <c r="O1153" s="12"/>
      <c r="P1153" s="12"/>
      <c r="Q1153" s="12"/>
      <c r="R1153" s="12"/>
      <c r="S1153" s="12"/>
      <c r="T1153" s="12">
        <v>8925</v>
      </c>
      <c r="U1153" s="12"/>
      <c r="V1153" s="12"/>
      <c r="W1153" s="12"/>
      <c r="X1153" s="12"/>
      <c r="Y1153" s="12">
        <f t="shared" si="20"/>
        <v>8925</v>
      </c>
    </row>
    <row r="1154" spans="1:25" ht="15">
      <c r="A1154">
        <v>2013</v>
      </c>
      <c r="B1154" t="s">
        <v>573</v>
      </c>
      <c r="C1154" t="s">
        <v>7</v>
      </c>
      <c r="D1154" t="s">
        <v>149</v>
      </c>
      <c r="E1154" t="s">
        <v>149</v>
      </c>
      <c r="F1154" t="s">
        <v>166</v>
      </c>
      <c r="G1154" t="s">
        <v>439</v>
      </c>
      <c r="H1154" t="s">
        <v>149</v>
      </c>
      <c r="I1154" t="s">
        <v>149</v>
      </c>
      <c r="J1154" t="s">
        <v>335</v>
      </c>
      <c r="K1154"/>
      <c r="L1154"/>
      <c r="M1154" s="12">
        <v>42652.34</v>
      </c>
      <c r="N1154" s="12">
        <v>7511.41</v>
      </c>
      <c r="O1154" s="12">
        <v>54236.73</v>
      </c>
      <c r="P1154" s="12">
        <v>213372.91999999998</v>
      </c>
      <c r="Q1154" s="12"/>
      <c r="R1154" s="12">
        <v>4840</v>
      </c>
      <c r="S1154" s="12">
        <v>206713.81</v>
      </c>
      <c r="T1154" s="12">
        <v>30432</v>
      </c>
      <c r="U1154" s="12">
        <v>53223</v>
      </c>
      <c r="V1154" s="12">
        <v>75953</v>
      </c>
      <c r="W1154" s="12">
        <v>50000</v>
      </c>
      <c r="X1154" s="12">
        <v>50000</v>
      </c>
      <c r="Y1154" s="12">
        <f t="shared" si="20"/>
        <v>788935.21</v>
      </c>
    </row>
    <row r="1155" spans="1:25" ht="15">
      <c r="A1155">
        <v>2013</v>
      </c>
      <c r="B1155" t="s">
        <v>573</v>
      </c>
      <c r="C1155" t="s">
        <v>7</v>
      </c>
      <c r="D1155" t="s">
        <v>149</v>
      </c>
      <c r="E1155" t="s">
        <v>149</v>
      </c>
      <c r="F1155" t="s">
        <v>247</v>
      </c>
      <c r="G1155" t="s">
        <v>439</v>
      </c>
      <c r="H1155" t="s">
        <v>149</v>
      </c>
      <c r="I1155" t="s">
        <v>149</v>
      </c>
      <c r="J1155" t="s">
        <v>335</v>
      </c>
      <c r="K1155"/>
      <c r="L1155"/>
      <c r="M1155" s="12"/>
      <c r="N1155" s="12"/>
      <c r="O1155" s="12"/>
      <c r="P1155" s="12"/>
      <c r="Q1155" s="12"/>
      <c r="R1155" s="12"/>
      <c r="S1155" s="12"/>
      <c r="T1155" s="12"/>
      <c r="U1155" s="12">
        <v>2300</v>
      </c>
      <c r="V1155" s="12"/>
      <c r="W1155" s="12"/>
      <c r="X1155" s="12"/>
      <c r="Y1155" s="12">
        <f t="shared" si="20"/>
        <v>2300</v>
      </c>
    </row>
    <row r="1156" spans="1:25" ht="15">
      <c r="A1156">
        <v>2013</v>
      </c>
      <c r="B1156" t="s">
        <v>573</v>
      </c>
      <c r="C1156" t="s">
        <v>7</v>
      </c>
      <c r="D1156" t="s">
        <v>9</v>
      </c>
      <c r="E1156" t="s">
        <v>67</v>
      </c>
      <c r="F1156" t="s">
        <v>234</v>
      </c>
      <c r="G1156" t="s">
        <v>439</v>
      </c>
      <c r="H1156" t="s">
        <v>9</v>
      </c>
      <c r="I1156" t="s">
        <v>67</v>
      </c>
      <c r="J1156" t="s">
        <v>67</v>
      </c>
      <c r="K1156"/>
      <c r="L1156"/>
      <c r="M1156" s="12"/>
      <c r="N1156" s="12"/>
      <c r="O1156" s="12"/>
      <c r="P1156" s="12">
        <v>6116.21</v>
      </c>
      <c r="Q1156" s="12"/>
      <c r="R1156" s="12"/>
      <c r="S1156" s="12"/>
      <c r="T1156" s="12"/>
      <c r="U1156" s="12"/>
      <c r="V1156" s="12"/>
      <c r="W1156" s="12"/>
      <c r="X1156" s="12"/>
      <c r="Y1156" s="12">
        <f t="shared" si="20"/>
        <v>6116.21</v>
      </c>
    </row>
    <row r="1157" spans="1:25" ht="15">
      <c r="A1157">
        <v>2013</v>
      </c>
      <c r="B1157" t="s">
        <v>573</v>
      </c>
      <c r="C1157" t="s">
        <v>7</v>
      </c>
      <c r="D1157" t="s">
        <v>9</v>
      </c>
      <c r="E1157" t="s">
        <v>67</v>
      </c>
      <c r="F1157" t="s">
        <v>8</v>
      </c>
      <c r="G1157" t="s">
        <v>439</v>
      </c>
      <c r="H1157" t="s">
        <v>9</v>
      </c>
      <c r="I1157" t="s">
        <v>67</v>
      </c>
      <c r="J1157" t="s">
        <v>67</v>
      </c>
      <c r="K1157"/>
      <c r="L1157"/>
      <c r="M1157" s="12"/>
      <c r="N1157" s="12"/>
      <c r="O1157" s="12"/>
      <c r="P1157" s="12"/>
      <c r="Q1157" s="12"/>
      <c r="R1157" s="12"/>
      <c r="S1157" s="12">
        <v>191.27</v>
      </c>
      <c r="T1157" s="12">
        <v>193.01</v>
      </c>
      <c r="U1157" s="12"/>
      <c r="V1157" s="12"/>
      <c r="W1157" s="12"/>
      <c r="X1157" s="12"/>
      <c r="Y1157" s="12">
        <f t="shared" si="20"/>
        <v>384.28</v>
      </c>
    </row>
    <row r="1158" spans="1:25" ht="15">
      <c r="A1158">
        <v>2013</v>
      </c>
      <c r="B1158" t="s">
        <v>573</v>
      </c>
      <c r="C1158" t="s">
        <v>7</v>
      </c>
      <c r="D1158" t="s">
        <v>9</v>
      </c>
      <c r="E1158" t="s">
        <v>10</v>
      </c>
      <c r="F1158" t="s">
        <v>78</v>
      </c>
      <c r="G1158" t="s">
        <v>439</v>
      </c>
      <c r="H1158" t="s">
        <v>9</v>
      </c>
      <c r="I1158" t="s">
        <v>10</v>
      </c>
      <c r="J1158" t="s">
        <v>14</v>
      </c>
      <c r="K1158"/>
      <c r="L1158"/>
      <c r="M1158" s="12"/>
      <c r="N1158" s="12"/>
      <c r="O1158" s="12"/>
      <c r="P1158" s="12">
        <v>500</v>
      </c>
      <c r="Q1158" s="12"/>
      <c r="R1158" s="12"/>
      <c r="S1158" s="12"/>
      <c r="T1158" s="12"/>
      <c r="U1158" s="12"/>
      <c r="V1158" s="12"/>
      <c r="W1158" s="12"/>
      <c r="X1158" s="12"/>
      <c r="Y1158" s="12">
        <f t="shared" si="20"/>
        <v>500</v>
      </c>
    </row>
    <row r="1159" spans="1:25" ht="15">
      <c r="A1159">
        <v>2013</v>
      </c>
      <c r="B1159" t="s">
        <v>573</v>
      </c>
      <c r="C1159" t="s">
        <v>7</v>
      </c>
      <c r="D1159" t="s">
        <v>9</v>
      </c>
      <c r="E1159" t="s">
        <v>10</v>
      </c>
      <c r="F1159" t="s">
        <v>85</v>
      </c>
      <c r="G1159" t="s">
        <v>439</v>
      </c>
      <c r="H1159" t="s">
        <v>9</v>
      </c>
      <c r="I1159" t="s">
        <v>10</v>
      </c>
      <c r="J1159" t="s">
        <v>14</v>
      </c>
      <c r="K1159"/>
      <c r="L1159"/>
      <c r="M1159" s="12">
        <v>250</v>
      </c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>
        <f t="shared" si="20"/>
        <v>250</v>
      </c>
    </row>
    <row r="1160" spans="1:25" ht="15">
      <c r="A1160">
        <v>2013</v>
      </c>
      <c r="B1160" t="s">
        <v>573</v>
      </c>
      <c r="C1160" t="s">
        <v>7</v>
      </c>
      <c r="D1160" t="s">
        <v>9</v>
      </c>
      <c r="E1160" t="s">
        <v>10</v>
      </c>
      <c r="F1160" t="s">
        <v>85</v>
      </c>
      <c r="G1160" t="s">
        <v>439</v>
      </c>
      <c r="H1160" t="s">
        <v>9</v>
      </c>
      <c r="I1160" t="s">
        <v>10</v>
      </c>
      <c r="J1160" t="s">
        <v>15</v>
      </c>
      <c r="K1160"/>
      <c r="L1160"/>
      <c r="M1160" s="12"/>
      <c r="N1160" s="12"/>
      <c r="O1160" s="12"/>
      <c r="P1160" s="12"/>
      <c r="Q1160" s="12">
        <v>61.89</v>
      </c>
      <c r="R1160" s="12"/>
      <c r="S1160" s="12">
        <v>5178.2</v>
      </c>
      <c r="T1160" s="12"/>
      <c r="U1160" s="12"/>
      <c r="V1160" s="12"/>
      <c r="W1160" s="12"/>
      <c r="X1160" s="12"/>
      <c r="Y1160" s="12">
        <f t="shared" si="20"/>
        <v>5240.09</v>
      </c>
    </row>
    <row r="1161" spans="1:25" ht="15">
      <c r="A1161">
        <v>2013</v>
      </c>
      <c r="B1161" t="s">
        <v>573</v>
      </c>
      <c r="C1161" t="s">
        <v>7</v>
      </c>
      <c r="D1161" t="s">
        <v>9</v>
      </c>
      <c r="E1161" t="s">
        <v>10</v>
      </c>
      <c r="F1161" t="s">
        <v>234</v>
      </c>
      <c r="G1161" t="s">
        <v>439</v>
      </c>
      <c r="H1161" t="s">
        <v>9</v>
      </c>
      <c r="I1161" t="s">
        <v>10</v>
      </c>
      <c r="J1161" t="s">
        <v>15</v>
      </c>
      <c r="K1161"/>
      <c r="L1161"/>
      <c r="M1161" s="12"/>
      <c r="N1161" s="12">
        <v>2975.68</v>
      </c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>
        <f t="shared" si="20"/>
        <v>2975.68</v>
      </c>
    </row>
    <row r="1162" spans="1:25" ht="15">
      <c r="A1162">
        <v>2013</v>
      </c>
      <c r="B1162" t="s">
        <v>573</v>
      </c>
      <c r="C1162" t="s">
        <v>7</v>
      </c>
      <c r="D1162" t="s">
        <v>9</v>
      </c>
      <c r="E1162" t="s">
        <v>10</v>
      </c>
      <c r="F1162" t="s">
        <v>234</v>
      </c>
      <c r="G1162" t="s">
        <v>439</v>
      </c>
      <c r="H1162" t="s">
        <v>9</v>
      </c>
      <c r="I1162" t="s">
        <v>10</v>
      </c>
      <c r="J1162" t="s">
        <v>11</v>
      </c>
      <c r="K1162"/>
      <c r="L1162"/>
      <c r="M1162" s="12"/>
      <c r="N1162" s="12"/>
      <c r="O1162" s="12"/>
      <c r="P1162" s="12"/>
      <c r="Q1162" s="12"/>
      <c r="R1162" s="12">
        <v>4811.6400000000003</v>
      </c>
      <c r="S1162" s="12"/>
      <c r="T1162" s="12"/>
      <c r="U1162" s="12"/>
      <c r="V1162" s="12"/>
      <c r="W1162" s="12"/>
      <c r="X1162" s="12"/>
      <c r="Y1162" s="12">
        <f t="shared" si="20"/>
        <v>4811.6400000000003</v>
      </c>
    </row>
    <row r="1163" spans="1:25" ht="15">
      <c r="A1163">
        <v>2013</v>
      </c>
      <c r="B1163" t="s">
        <v>573</v>
      </c>
      <c r="C1163" t="s">
        <v>7</v>
      </c>
      <c r="D1163" t="s">
        <v>9</v>
      </c>
      <c r="E1163" t="s">
        <v>10</v>
      </c>
      <c r="F1163" t="s">
        <v>234</v>
      </c>
      <c r="G1163" t="s">
        <v>439</v>
      </c>
      <c r="H1163" t="s">
        <v>9</v>
      </c>
      <c r="I1163" t="s">
        <v>10</v>
      </c>
      <c r="J1163" t="s">
        <v>325</v>
      </c>
      <c r="K1163"/>
      <c r="L1163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>
        <v>34.97</v>
      </c>
      <c r="W1163" s="12"/>
      <c r="X1163" s="12"/>
      <c r="Y1163" s="12">
        <f t="shared" si="20"/>
        <v>34.97</v>
      </c>
    </row>
    <row r="1164" spans="1:25" ht="15">
      <c r="A1164">
        <v>2013</v>
      </c>
      <c r="B1164" t="s">
        <v>573</v>
      </c>
      <c r="C1164" t="s">
        <v>7</v>
      </c>
      <c r="D1164" t="s">
        <v>9</v>
      </c>
      <c r="E1164" t="s">
        <v>10</v>
      </c>
      <c r="F1164" t="s">
        <v>81</v>
      </c>
      <c r="G1164" t="s">
        <v>439</v>
      </c>
      <c r="H1164" t="s">
        <v>9</v>
      </c>
      <c r="I1164" t="s">
        <v>10</v>
      </c>
      <c r="J1164" t="s">
        <v>415</v>
      </c>
      <c r="K1164"/>
      <c r="L1164"/>
      <c r="M1164" s="12"/>
      <c r="N1164" s="12"/>
      <c r="O1164" s="12">
        <v>25000</v>
      </c>
      <c r="P1164" s="12"/>
      <c r="Q1164" s="12"/>
      <c r="R1164" s="12"/>
      <c r="S1164" s="12"/>
      <c r="T1164" s="12"/>
      <c r="U1164" s="12"/>
      <c r="V1164" s="12"/>
      <c r="W1164" s="12"/>
      <c r="X1164" s="12"/>
      <c r="Y1164" s="12">
        <f t="shared" si="20"/>
        <v>25000</v>
      </c>
    </row>
    <row r="1165" spans="1:25" ht="15">
      <c r="A1165">
        <v>2013</v>
      </c>
      <c r="B1165" t="s">
        <v>573</v>
      </c>
      <c r="C1165" t="s">
        <v>7</v>
      </c>
      <c r="D1165" t="s">
        <v>9</v>
      </c>
      <c r="E1165" t="s">
        <v>10</v>
      </c>
      <c r="F1165" t="s">
        <v>81</v>
      </c>
      <c r="G1165" t="s">
        <v>439</v>
      </c>
      <c r="H1165" t="s">
        <v>9</v>
      </c>
      <c r="I1165" t="s">
        <v>10</v>
      </c>
      <c r="J1165" t="s">
        <v>325</v>
      </c>
      <c r="K1165"/>
      <c r="L1165"/>
      <c r="M1165" s="12"/>
      <c r="N1165" s="12"/>
      <c r="O1165" s="12"/>
      <c r="P1165" s="12"/>
      <c r="Q1165" s="12"/>
      <c r="R1165" s="12"/>
      <c r="S1165" s="12"/>
      <c r="T1165" s="12">
        <v>1872</v>
      </c>
      <c r="U1165" s="12"/>
      <c r="V1165" s="12"/>
      <c r="W1165" s="12"/>
      <c r="X1165" s="12"/>
      <c r="Y1165" s="12">
        <f t="shared" si="20"/>
        <v>1872</v>
      </c>
    </row>
    <row r="1166" spans="1:25" ht="15">
      <c r="A1166">
        <v>2013</v>
      </c>
      <c r="B1166" t="s">
        <v>573</v>
      </c>
      <c r="C1166" t="s">
        <v>7</v>
      </c>
      <c r="D1166" t="s">
        <v>9</v>
      </c>
      <c r="E1166" t="s">
        <v>10</v>
      </c>
      <c r="F1166" t="s">
        <v>8</v>
      </c>
      <c r="G1166" t="s">
        <v>439</v>
      </c>
      <c r="H1166" t="s">
        <v>9</v>
      </c>
      <c r="I1166" t="s">
        <v>10</v>
      </c>
      <c r="J1166" t="s">
        <v>14</v>
      </c>
      <c r="K1166"/>
      <c r="L1166"/>
      <c r="M1166" s="12"/>
      <c r="N1166" s="12">
        <v>2998</v>
      </c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>
        <f t="shared" si="20"/>
        <v>2998</v>
      </c>
    </row>
    <row r="1167" spans="1:25" ht="15">
      <c r="A1167">
        <v>2013</v>
      </c>
      <c r="B1167" t="s">
        <v>573</v>
      </c>
      <c r="C1167" t="s">
        <v>7</v>
      </c>
      <c r="D1167" t="s">
        <v>9</v>
      </c>
      <c r="E1167" t="s">
        <v>10</v>
      </c>
      <c r="F1167" t="s">
        <v>8</v>
      </c>
      <c r="G1167" t="s">
        <v>439</v>
      </c>
      <c r="H1167" t="s">
        <v>9</v>
      </c>
      <c r="I1167" t="s">
        <v>10</v>
      </c>
      <c r="J1167" t="s">
        <v>426</v>
      </c>
      <c r="K1167"/>
      <c r="L1167"/>
      <c r="M1167" s="12"/>
      <c r="N1167" s="12"/>
      <c r="O1167" s="12">
        <v>96130.8</v>
      </c>
      <c r="P1167" s="12"/>
      <c r="Q1167" s="12"/>
      <c r="R1167" s="12"/>
      <c r="S1167" s="12"/>
      <c r="T1167" s="12"/>
      <c r="U1167" s="12"/>
      <c r="V1167" s="12"/>
      <c r="W1167" s="12"/>
      <c r="X1167" s="12"/>
      <c r="Y1167" s="12">
        <f t="shared" si="20"/>
        <v>96130.8</v>
      </c>
    </row>
    <row r="1168" spans="1:25" ht="15">
      <c r="A1168">
        <v>2013</v>
      </c>
      <c r="B1168" t="s">
        <v>573</v>
      </c>
      <c r="C1168" t="s">
        <v>7</v>
      </c>
      <c r="D1168" t="s">
        <v>9</v>
      </c>
      <c r="E1168" t="s">
        <v>10</v>
      </c>
      <c r="F1168" t="s">
        <v>8</v>
      </c>
      <c r="G1168" t="s">
        <v>439</v>
      </c>
      <c r="H1168" t="s">
        <v>9</v>
      </c>
      <c r="I1168" t="s">
        <v>10</v>
      </c>
      <c r="J1168" t="s">
        <v>420</v>
      </c>
      <c r="K1168"/>
      <c r="L1168"/>
      <c r="M1168" s="12"/>
      <c r="N1168" s="12"/>
      <c r="O1168" s="12">
        <v>4572</v>
      </c>
      <c r="P1168" s="12"/>
      <c r="Q1168" s="12"/>
      <c r="R1168" s="12"/>
      <c r="S1168" s="12"/>
      <c r="T1168" s="12"/>
      <c r="U1168" s="12"/>
      <c r="V1168" s="12"/>
      <c r="W1168" s="12"/>
      <c r="X1168" s="12"/>
      <c r="Y1168" s="12">
        <f t="shared" si="20"/>
        <v>4572</v>
      </c>
    </row>
    <row r="1169" spans="1:25" ht="15">
      <c r="A1169">
        <v>2013</v>
      </c>
      <c r="B1169" t="s">
        <v>573</v>
      </c>
      <c r="C1169" t="s">
        <v>7</v>
      </c>
      <c r="D1169" t="s">
        <v>9</v>
      </c>
      <c r="E1169" t="s">
        <v>10</v>
      </c>
      <c r="F1169" t="s">
        <v>8</v>
      </c>
      <c r="G1169" t="s">
        <v>439</v>
      </c>
      <c r="H1169" t="s">
        <v>9</v>
      </c>
      <c r="I1169" t="s">
        <v>10</v>
      </c>
      <c r="J1169" t="s">
        <v>410</v>
      </c>
      <c r="K1169"/>
      <c r="L1169"/>
      <c r="M1169" s="12"/>
      <c r="N1169" s="12"/>
      <c r="O1169" s="12">
        <v>2640</v>
      </c>
      <c r="P1169" s="12"/>
      <c r="Q1169" s="12"/>
      <c r="R1169" s="12"/>
      <c r="S1169" s="12"/>
      <c r="T1169" s="12"/>
      <c r="U1169" s="12">
        <v>5139.84</v>
      </c>
      <c r="V1169" s="12"/>
      <c r="W1169" s="12"/>
      <c r="X1169" s="12"/>
      <c r="Y1169" s="12">
        <f t="shared" si="20"/>
        <v>7779.84</v>
      </c>
    </row>
    <row r="1170" spans="1:25" ht="15">
      <c r="A1170">
        <v>2013</v>
      </c>
      <c r="B1170" t="s">
        <v>573</v>
      </c>
      <c r="C1170" t="s">
        <v>7</v>
      </c>
      <c r="D1170" t="s">
        <v>9</v>
      </c>
      <c r="E1170" t="s">
        <v>10</v>
      </c>
      <c r="F1170" t="s">
        <v>8</v>
      </c>
      <c r="G1170" t="s">
        <v>439</v>
      </c>
      <c r="H1170" t="s">
        <v>9</v>
      </c>
      <c r="I1170" t="s">
        <v>10</v>
      </c>
      <c r="J1170" t="s">
        <v>15</v>
      </c>
      <c r="K1170"/>
      <c r="L1170"/>
      <c r="M1170" s="12"/>
      <c r="N1170" s="12">
        <v>28570.22</v>
      </c>
      <c r="O1170" s="12">
        <v>38793.550000000003</v>
      </c>
      <c r="P1170" s="12">
        <v>3114.86</v>
      </c>
      <c r="Q1170" s="12">
        <v>5075.8599999999997</v>
      </c>
      <c r="R1170" s="12">
        <v>3649.93</v>
      </c>
      <c r="S1170" s="12">
        <v>5721.43</v>
      </c>
      <c r="T1170" s="12">
        <v>3513.69</v>
      </c>
      <c r="U1170" s="12">
        <v>2471.0500000000002</v>
      </c>
      <c r="V1170" s="12">
        <v>2330.58</v>
      </c>
      <c r="W1170" s="12"/>
      <c r="X1170" s="12"/>
      <c r="Y1170" s="12">
        <f t="shared" si="20"/>
        <v>93241.170000000013</v>
      </c>
    </row>
    <row r="1171" spans="1:25" ht="15">
      <c r="A1171">
        <v>2013</v>
      </c>
      <c r="B1171" t="s">
        <v>573</v>
      </c>
      <c r="C1171" t="s">
        <v>7</v>
      </c>
      <c r="D1171" t="s">
        <v>9</v>
      </c>
      <c r="E1171" t="s">
        <v>10</v>
      </c>
      <c r="F1171" t="s">
        <v>8</v>
      </c>
      <c r="G1171" t="s">
        <v>439</v>
      </c>
      <c r="H1171" t="s">
        <v>9</v>
      </c>
      <c r="I1171" t="s">
        <v>10</v>
      </c>
      <c r="J1171" t="s">
        <v>324</v>
      </c>
      <c r="K1171"/>
      <c r="L1171"/>
      <c r="M1171" s="12"/>
      <c r="N1171" s="12"/>
      <c r="O1171" s="12"/>
      <c r="P1171" s="12"/>
      <c r="Q1171" s="12"/>
      <c r="R1171" s="12"/>
      <c r="S1171" s="12">
        <v>2400</v>
      </c>
      <c r="T1171" s="12"/>
      <c r="U1171" s="12"/>
      <c r="V1171" s="12"/>
      <c r="W1171" s="12"/>
      <c r="X1171" s="12"/>
      <c r="Y1171" s="12">
        <f t="shared" si="20"/>
        <v>2400</v>
      </c>
    </row>
    <row r="1172" spans="1:25" ht="15">
      <c r="A1172">
        <v>2013</v>
      </c>
      <c r="B1172" t="s">
        <v>573</v>
      </c>
      <c r="C1172" t="s">
        <v>7</v>
      </c>
      <c r="D1172" t="s">
        <v>9</v>
      </c>
      <c r="E1172" t="s">
        <v>10</v>
      </c>
      <c r="F1172" t="s">
        <v>8</v>
      </c>
      <c r="G1172" t="s">
        <v>439</v>
      </c>
      <c r="H1172" t="s">
        <v>9</v>
      </c>
      <c r="I1172" t="s">
        <v>10</v>
      </c>
      <c r="J1172" t="s">
        <v>11</v>
      </c>
      <c r="K1172"/>
      <c r="L1172"/>
      <c r="M1172" s="12"/>
      <c r="N1172" s="12"/>
      <c r="O1172" s="12"/>
      <c r="P1172" s="12"/>
      <c r="Q1172" s="12"/>
      <c r="R1172" s="12">
        <v>2072.9499999999998</v>
      </c>
      <c r="S1172" s="12"/>
      <c r="T1172" s="12"/>
      <c r="U1172" s="12">
        <v>11166.94</v>
      </c>
      <c r="V1172" s="12">
        <v>250</v>
      </c>
      <c r="W1172" s="12">
        <v>6000</v>
      </c>
      <c r="X1172" s="12">
        <v>6000</v>
      </c>
      <c r="Y1172" s="12">
        <f t="shared" si="20"/>
        <v>25489.89</v>
      </c>
    </row>
    <row r="1173" spans="1:25" ht="15">
      <c r="A1173">
        <v>2013</v>
      </c>
      <c r="B1173" t="s">
        <v>573</v>
      </c>
      <c r="C1173" t="s">
        <v>7</v>
      </c>
      <c r="D1173" t="s">
        <v>9</v>
      </c>
      <c r="E1173" t="s">
        <v>10</v>
      </c>
      <c r="F1173" t="s">
        <v>8</v>
      </c>
      <c r="G1173" t="s">
        <v>439</v>
      </c>
      <c r="H1173" t="s">
        <v>9</v>
      </c>
      <c r="I1173" t="s">
        <v>10</v>
      </c>
      <c r="J1173" t="s">
        <v>411</v>
      </c>
      <c r="K1173"/>
      <c r="L1173"/>
      <c r="M1173" s="12"/>
      <c r="N1173" s="12"/>
      <c r="O1173" s="12">
        <v>1560</v>
      </c>
      <c r="P1173" s="12"/>
      <c r="Q1173" s="12"/>
      <c r="R1173" s="12"/>
      <c r="S1173" s="12"/>
      <c r="T1173" s="12"/>
      <c r="U1173" s="12"/>
      <c r="V1173" s="12"/>
      <c r="W1173" s="12"/>
      <c r="X1173" s="12"/>
      <c r="Y1173" s="12">
        <f t="shared" si="20"/>
        <v>1560</v>
      </c>
    </row>
    <row r="1174" spans="1:25" ht="15">
      <c r="A1174">
        <v>2013</v>
      </c>
      <c r="B1174" t="s">
        <v>573</v>
      </c>
      <c r="C1174" t="s">
        <v>7</v>
      </c>
      <c r="D1174" t="s">
        <v>9</v>
      </c>
      <c r="E1174" t="s">
        <v>10</v>
      </c>
      <c r="F1174" t="s">
        <v>8</v>
      </c>
      <c r="G1174" t="s">
        <v>439</v>
      </c>
      <c r="H1174" t="s">
        <v>9</v>
      </c>
      <c r="I1174" t="s">
        <v>10</v>
      </c>
      <c r="J1174" t="s">
        <v>325</v>
      </c>
      <c r="K1174"/>
      <c r="L1174"/>
      <c r="M1174" s="12"/>
      <c r="N1174" s="12"/>
      <c r="O1174" s="12"/>
      <c r="P1174" s="12">
        <v>2444</v>
      </c>
      <c r="Q1174" s="12">
        <v>26250</v>
      </c>
      <c r="R1174" s="12"/>
      <c r="S1174" s="12"/>
      <c r="T1174" s="12">
        <v>-33545.4</v>
      </c>
      <c r="U1174" s="12"/>
      <c r="V1174" s="12"/>
      <c r="W1174" s="12"/>
      <c r="X1174" s="12"/>
      <c r="Y1174" s="12">
        <f t="shared" ref="Y1174:Y1237" si="21">SUM(M1174:X1174)</f>
        <v>-4851.4000000000015</v>
      </c>
    </row>
    <row r="1175" spans="1:25" ht="15">
      <c r="A1175">
        <v>2013</v>
      </c>
      <c r="B1175" t="s">
        <v>573</v>
      </c>
      <c r="C1175" t="s">
        <v>7</v>
      </c>
      <c r="D1175" t="s">
        <v>9</v>
      </c>
      <c r="E1175" t="s">
        <v>10</v>
      </c>
      <c r="F1175" t="s">
        <v>8</v>
      </c>
      <c r="G1175" t="s">
        <v>439</v>
      </c>
      <c r="H1175" t="s">
        <v>9</v>
      </c>
      <c r="I1175" t="s">
        <v>10</v>
      </c>
      <c r="J1175" t="s">
        <v>384</v>
      </c>
      <c r="K1175"/>
      <c r="L1175"/>
      <c r="M1175" s="12"/>
      <c r="N1175" s="12"/>
      <c r="O1175" s="12"/>
      <c r="P1175" s="12">
        <v>1476</v>
      </c>
      <c r="Q1175" s="12">
        <v>3388.86</v>
      </c>
      <c r="R1175" s="12"/>
      <c r="S1175" s="12"/>
      <c r="T1175" s="12"/>
      <c r="U1175" s="12"/>
      <c r="V1175" s="12"/>
      <c r="W1175" s="12"/>
      <c r="X1175" s="12"/>
      <c r="Y1175" s="12">
        <f t="shared" si="21"/>
        <v>4864.8600000000006</v>
      </c>
    </row>
    <row r="1176" spans="1:25" ht="15">
      <c r="A1176">
        <v>2013</v>
      </c>
      <c r="B1176" t="s">
        <v>573</v>
      </c>
      <c r="C1176" t="s">
        <v>7</v>
      </c>
      <c r="D1176" t="s">
        <v>9</v>
      </c>
      <c r="E1176" t="s">
        <v>10</v>
      </c>
      <c r="F1176" t="s">
        <v>208</v>
      </c>
      <c r="G1176" t="s">
        <v>439</v>
      </c>
      <c r="H1176" t="s">
        <v>9</v>
      </c>
      <c r="I1176" t="s">
        <v>10</v>
      </c>
      <c r="J1176" t="s">
        <v>426</v>
      </c>
      <c r="K1176"/>
      <c r="L1176"/>
      <c r="M1176" s="12">
        <v>6904.4</v>
      </c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>
        <f t="shared" si="21"/>
        <v>6904.4</v>
      </c>
    </row>
    <row r="1177" spans="1:25" ht="15">
      <c r="A1177">
        <v>2013</v>
      </c>
      <c r="B1177" t="s">
        <v>573</v>
      </c>
      <c r="C1177" t="s">
        <v>7</v>
      </c>
      <c r="D1177" t="s">
        <v>329</v>
      </c>
      <c r="E1177" t="s">
        <v>329</v>
      </c>
      <c r="F1177" t="s">
        <v>166</v>
      </c>
      <c r="G1177" t="s">
        <v>439</v>
      </c>
      <c r="H1177" t="s">
        <v>329</v>
      </c>
      <c r="I1177" t="s">
        <v>329</v>
      </c>
      <c r="J1177" t="s">
        <v>333</v>
      </c>
      <c r="K1177"/>
      <c r="L1177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>
        <v>5000</v>
      </c>
      <c r="X1177" s="12">
        <v>5000</v>
      </c>
      <c r="Y1177" s="12">
        <f t="shared" si="21"/>
        <v>10000</v>
      </c>
    </row>
    <row r="1178" spans="1:25" ht="15">
      <c r="A1178">
        <v>2013</v>
      </c>
      <c r="B1178" t="s">
        <v>573</v>
      </c>
      <c r="C1178" t="s">
        <v>7</v>
      </c>
      <c r="D1178" t="s">
        <v>329</v>
      </c>
      <c r="E1178" t="s">
        <v>329</v>
      </c>
      <c r="F1178" t="s">
        <v>166</v>
      </c>
      <c r="G1178" t="s">
        <v>439</v>
      </c>
      <c r="H1178" t="s">
        <v>329</v>
      </c>
      <c r="I1178" t="s">
        <v>329</v>
      </c>
      <c r="J1178" t="s">
        <v>330</v>
      </c>
      <c r="K1178"/>
      <c r="L1178"/>
      <c r="M1178" s="12">
        <v>214512.71</v>
      </c>
      <c r="N1178" s="12">
        <v>311615.76</v>
      </c>
      <c r="O1178" s="12">
        <v>341108.64</v>
      </c>
      <c r="P1178" s="12">
        <v>475321</v>
      </c>
      <c r="Q1178" s="12">
        <v>559153.89</v>
      </c>
      <c r="R1178" s="12">
        <v>629029.65</v>
      </c>
      <c r="S1178" s="12">
        <v>607090.87</v>
      </c>
      <c r="T1178" s="12">
        <v>590985.65</v>
      </c>
      <c r="U1178" s="12">
        <v>491102.61</v>
      </c>
      <c r="V1178" s="12">
        <v>366998.3</v>
      </c>
      <c r="W1178" s="12">
        <v>425561</v>
      </c>
      <c r="X1178" s="12">
        <v>381250</v>
      </c>
      <c r="Y1178" s="12">
        <f t="shared" si="21"/>
        <v>5393730.0800000001</v>
      </c>
    </row>
    <row r="1179" spans="1:25" ht="15">
      <c r="A1179">
        <v>2013</v>
      </c>
      <c r="B1179" t="s">
        <v>573</v>
      </c>
      <c r="C1179" t="s">
        <v>7</v>
      </c>
      <c r="D1179" t="s">
        <v>329</v>
      </c>
      <c r="E1179" t="s">
        <v>329</v>
      </c>
      <c r="F1179" t="s">
        <v>166</v>
      </c>
      <c r="G1179" t="s">
        <v>439</v>
      </c>
      <c r="H1179" t="s">
        <v>329</v>
      </c>
      <c r="I1179" t="s">
        <v>329</v>
      </c>
      <c r="J1179" t="s">
        <v>334</v>
      </c>
      <c r="K1179"/>
      <c r="L1179"/>
      <c r="M1179" s="12"/>
      <c r="N1179" s="12"/>
      <c r="O1179" s="12">
        <v>6000</v>
      </c>
      <c r="P1179" s="12">
        <v>15006</v>
      </c>
      <c r="Q1179" s="12">
        <v>3120</v>
      </c>
      <c r="R1179" s="12">
        <v>24875</v>
      </c>
      <c r="S1179" s="12">
        <v>3000</v>
      </c>
      <c r="T1179" s="12"/>
      <c r="U1179" s="12">
        <v>14633.94</v>
      </c>
      <c r="V1179" s="12">
        <v>24000</v>
      </c>
      <c r="W1179" s="12">
        <v>20000</v>
      </c>
      <c r="X1179" s="12">
        <v>20000</v>
      </c>
      <c r="Y1179" s="12">
        <f t="shared" si="21"/>
        <v>130634.94</v>
      </c>
    </row>
    <row r="1180" spans="1:25" ht="15">
      <c r="A1180">
        <v>2013</v>
      </c>
      <c r="B1180" t="s">
        <v>573</v>
      </c>
      <c r="C1180" t="s">
        <v>7</v>
      </c>
      <c r="D1180" t="s">
        <v>329</v>
      </c>
      <c r="E1180" t="s">
        <v>329</v>
      </c>
      <c r="F1180" t="s">
        <v>166</v>
      </c>
      <c r="G1180" t="s">
        <v>439</v>
      </c>
      <c r="H1180" t="s">
        <v>329</v>
      </c>
      <c r="I1180" t="s">
        <v>329</v>
      </c>
      <c r="J1180" t="s">
        <v>590</v>
      </c>
      <c r="K1180"/>
      <c r="L1180"/>
      <c r="M1180" s="12">
        <v>3404.13</v>
      </c>
      <c r="N1180" s="12"/>
      <c r="O1180" s="12"/>
      <c r="P1180" s="12">
        <v>3149.75</v>
      </c>
      <c r="Q1180" s="12">
        <v>5980.92</v>
      </c>
      <c r="R1180" s="12"/>
      <c r="S1180" s="12"/>
      <c r="T1180" s="12">
        <v>6167.01</v>
      </c>
      <c r="U1180" s="12"/>
      <c r="V1180" s="12"/>
      <c r="W1180" s="12"/>
      <c r="X1180" s="12"/>
      <c r="Y1180" s="12">
        <f t="shared" si="21"/>
        <v>18701.809999999998</v>
      </c>
    </row>
    <row r="1181" spans="1:25" ht="15">
      <c r="A1181">
        <v>2013</v>
      </c>
      <c r="B1181" t="s">
        <v>573</v>
      </c>
      <c r="C1181" t="s">
        <v>7</v>
      </c>
      <c r="D1181" t="s">
        <v>329</v>
      </c>
      <c r="E1181" t="s">
        <v>329</v>
      </c>
      <c r="F1181" t="s">
        <v>166</v>
      </c>
      <c r="G1181" t="s">
        <v>439</v>
      </c>
      <c r="H1181" t="s">
        <v>329</v>
      </c>
      <c r="I1181" t="s">
        <v>329</v>
      </c>
      <c r="J1181" t="s">
        <v>591</v>
      </c>
      <c r="K1181"/>
      <c r="L1181"/>
      <c r="M1181" s="12">
        <v>32584.37</v>
      </c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>
        <f t="shared" si="21"/>
        <v>32584.37</v>
      </c>
    </row>
    <row r="1182" spans="1:25" ht="15">
      <c r="A1182">
        <v>2013</v>
      </c>
      <c r="B1182" t="s">
        <v>448</v>
      </c>
      <c r="C1182" t="s">
        <v>448</v>
      </c>
      <c r="D1182" t="s">
        <v>448</v>
      </c>
      <c r="E1182" t="s">
        <v>448</v>
      </c>
      <c r="F1182" t="s">
        <v>448</v>
      </c>
      <c r="G1182" t="s">
        <v>245</v>
      </c>
      <c r="H1182" t="s">
        <v>448</v>
      </c>
      <c r="I1182" t="s">
        <v>448</v>
      </c>
      <c r="J1182" t="s">
        <v>448</v>
      </c>
      <c r="K1182"/>
      <c r="L1182"/>
      <c r="M1182" s="12">
        <v>3977105.1125901272</v>
      </c>
      <c r="N1182" s="12">
        <v>5873037.055683258</v>
      </c>
      <c r="O1182" s="12">
        <v>5868061.1754100742</v>
      </c>
      <c r="P1182" s="12">
        <v>12616655.343211653</v>
      </c>
      <c r="Q1182" s="12">
        <v>28008227.007209223</v>
      </c>
      <c r="R1182" s="12">
        <v>27288215.041445371</v>
      </c>
      <c r="S1182" s="12">
        <v>24198062.113031559</v>
      </c>
      <c r="T1182" s="12">
        <v>16606777.400070257</v>
      </c>
      <c r="U1182" s="12">
        <v>4460611.2921188548</v>
      </c>
      <c r="V1182" s="12">
        <v>3800723.0083173313</v>
      </c>
      <c r="W1182" s="12">
        <v>5200200.5643801764</v>
      </c>
      <c r="X1182" s="12">
        <v>3937551.2094125967</v>
      </c>
      <c r="Y1182" s="12">
        <f>SUM(M1182:X1182)</f>
        <v>141835226.32288048</v>
      </c>
    </row>
    <row r="1183" spans="1:25" ht="15">
      <c r="A1183">
        <v>2013</v>
      </c>
      <c r="B1183" t="s">
        <v>448</v>
      </c>
      <c r="C1183" t="s">
        <v>448</v>
      </c>
      <c r="D1183" t="s">
        <v>448</v>
      </c>
      <c r="E1183" t="s">
        <v>448</v>
      </c>
      <c r="F1183" t="s">
        <v>448</v>
      </c>
      <c r="G1183" t="s">
        <v>442</v>
      </c>
      <c r="H1183" t="s">
        <v>448</v>
      </c>
      <c r="I1183" t="s">
        <v>448</v>
      </c>
      <c r="J1183" t="s">
        <v>448</v>
      </c>
      <c r="K1183"/>
      <c r="L1183"/>
      <c r="M1183" s="12">
        <v>9516542.1074098721</v>
      </c>
      <c r="N1183" s="12">
        <v>10453265.544316741</v>
      </c>
      <c r="O1183" s="12">
        <v>10803926.084589925</v>
      </c>
      <c r="P1183" s="12">
        <v>13231027.026788345</v>
      </c>
      <c r="Q1183" s="12">
        <v>21583071.522790782</v>
      </c>
      <c r="R1183" s="12">
        <v>27153134.578554634</v>
      </c>
      <c r="S1183" s="12">
        <v>21498987.986968443</v>
      </c>
      <c r="T1183" s="12">
        <v>17977523.639929745</v>
      </c>
      <c r="U1183" s="12">
        <v>11560160.697881147</v>
      </c>
      <c r="V1183" s="12">
        <v>10229213.37168267</v>
      </c>
      <c r="W1183" s="12">
        <v>9728489.5356198214</v>
      </c>
      <c r="X1183" s="12">
        <v>12432520.054376213</v>
      </c>
      <c r="Y1183" s="12">
        <f>SUM(M1183:X1183)</f>
        <v>176167862.15090832</v>
      </c>
    </row>
    <row r="1184" spans="1:25" ht="15">
      <c r="A1184">
        <v>2013</v>
      </c>
      <c r="B1184" t="s">
        <v>573</v>
      </c>
      <c r="C1184" t="s">
        <v>92</v>
      </c>
      <c r="D1184" t="s">
        <v>92</v>
      </c>
      <c r="E1184" t="s">
        <v>25</v>
      </c>
      <c r="F1184" t="s">
        <v>157</v>
      </c>
      <c r="G1184" t="s">
        <v>442</v>
      </c>
      <c r="H1184" t="s">
        <v>25</v>
      </c>
      <c r="I1184" t="s">
        <v>25</v>
      </c>
      <c r="J1184" t="s">
        <v>36</v>
      </c>
      <c r="K1184"/>
      <c r="L1184"/>
      <c r="M1184" s="12"/>
      <c r="N1184" s="12"/>
      <c r="O1184" s="12"/>
      <c r="P1184" s="12">
        <v>2019.3</v>
      </c>
      <c r="Q1184" s="12">
        <v>1819</v>
      </c>
      <c r="R1184" s="12"/>
      <c r="S1184" s="12">
        <v>3538.72</v>
      </c>
      <c r="T1184" s="12"/>
      <c r="U1184" s="12"/>
      <c r="V1184" s="12"/>
      <c r="W1184" s="12"/>
      <c r="X1184" s="12"/>
      <c r="Y1184" s="12">
        <f t="shared" si="21"/>
        <v>7377.02</v>
      </c>
    </row>
    <row r="1185" spans="1:25" ht="15">
      <c r="A1185">
        <v>2013</v>
      </c>
      <c r="B1185" t="s">
        <v>573</v>
      </c>
      <c r="C1185" t="s">
        <v>92</v>
      </c>
      <c r="D1185" t="s">
        <v>92</v>
      </c>
      <c r="E1185" t="s">
        <v>25</v>
      </c>
      <c r="F1185" t="s">
        <v>157</v>
      </c>
      <c r="G1185" t="s">
        <v>442</v>
      </c>
      <c r="H1185" t="s">
        <v>25</v>
      </c>
      <c r="I1185" t="s">
        <v>25</v>
      </c>
      <c r="J1185" t="s">
        <v>26</v>
      </c>
      <c r="K1185"/>
      <c r="L1185"/>
      <c r="M1185" s="12">
        <v>2455</v>
      </c>
      <c r="N1185" s="12"/>
      <c r="O1185" s="12">
        <v>2455</v>
      </c>
      <c r="P1185" s="12">
        <v>2445</v>
      </c>
      <c r="Q1185" s="12">
        <v>2445</v>
      </c>
      <c r="R1185" s="12">
        <v>2445</v>
      </c>
      <c r="S1185" s="12">
        <v>2445</v>
      </c>
      <c r="T1185" s="12">
        <v>2445</v>
      </c>
      <c r="U1185" s="12"/>
      <c r="V1185" s="12"/>
      <c r="W1185" s="12"/>
      <c r="X1185" s="12"/>
      <c r="Y1185" s="12">
        <f t="shared" si="21"/>
        <v>17135</v>
      </c>
    </row>
    <row r="1186" spans="1:25" ht="15">
      <c r="A1186">
        <v>2013</v>
      </c>
      <c r="B1186" t="s">
        <v>573</v>
      </c>
      <c r="C1186" t="s">
        <v>92</v>
      </c>
      <c r="D1186" t="s">
        <v>92</v>
      </c>
      <c r="E1186" t="s">
        <v>25</v>
      </c>
      <c r="F1186" t="s">
        <v>157</v>
      </c>
      <c r="G1186" t="s">
        <v>442</v>
      </c>
      <c r="H1186" t="s">
        <v>25</v>
      </c>
      <c r="I1186" t="s">
        <v>25</v>
      </c>
      <c r="J1186" t="s">
        <v>131</v>
      </c>
      <c r="K1186"/>
      <c r="L1186"/>
      <c r="M1186" s="12">
        <v>175798.93</v>
      </c>
      <c r="N1186" s="12">
        <v>228169.03</v>
      </c>
      <c r="O1186" s="12">
        <v>350604.53</v>
      </c>
      <c r="P1186" s="12">
        <v>652763.43000000005</v>
      </c>
      <c r="Q1186" s="12">
        <v>995684.49</v>
      </c>
      <c r="R1186" s="12">
        <v>1044289.89</v>
      </c>
      <c r="S1186" s="12">
        <v>769139.48</v>
      </c>
      <c r="T1186" s="12">
        <v>339082.85</v>
      </c>
      <c r="U1186" s="12">
        <v>293655.53000000003</v>
      </c>
      <c r="V1186" s="12"/>
      <c r="W1186" s="12">
        <v>288400</v>
      </c>
      <c r="X1186" s="12"/>
      <c r="Y1186" s="12">
        <f t="shared" si="21"/>
        <v>5137588.16</v>
      </c>
    </row>
    <row r="1187" spans="1:25" ht="15">
      <c r="A1187">
        <v>2013</v>
      </c>
      <c r="B1187" t="s">
        <v>573</v>
      </c>
      <c r="C1187" t="s">
        <v>92</v>
      </c>
      <c r="D1187" t="s">
        <v>92</v>
      </c>
      <c r="E1187" t="s">
        <v>25</v>
      </c>
      <c r="F1187" t="s">
        <v>157</v>
      </c>
      <c r="G1187" t="s">
        <v>439</v>
      </c>
      <c r="H1187" t="s">
        <v>25</v>
      </c>
      <c r="I1187" t="s">
        <v>25</v>
      </c>
      <c r="J1187" t="s">
        <v>26</v>
      </c>
      <c r="K1187"/>
      <c r="L1187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>
        <v>801.15</v>
      </c>
      <c r="W1187" s="12"/>
      <c r="X1187" s="12"/>
      <c r="Y1187" s="12">
        <f t="shared" si="21"/>
        <v>801.15</v>
      </c>
    </row>
    <row r="1188" spans="1:25" ht="15">
      <c r="A1188">
        <v>2013</v>
      </c>
      <c r="B1188" t="s">
        <v>573</v>
      </c>
      <c r="C1188" t="s">
        <v>92</v>
      </c>
      <c r="D1188" t="s">
        <v>92</v>
      </c>
      <c r="E1188" t="s">
        <v>25</v>
      </c>
      <c r="F1188" t="s">
        <v>157</v>
      </c>
      <c r="G1188" t="s">
        <v>439</v>
      </c>
      <c r="H1188" t="s">
        <v>25</v>
      </c>
      <c r="I1188" t="s">
        <v>25</v>
      </c>
      <c r="J1188" t="s">
        <v>131</v>
      </c>
      <c r="K1188"/>
      <c r="L1188"/>
      <c r="M1188" s="12"/>
      <c r="N1188" s="12"/>
      <c r="O1188" s="12"/>
      <c r="P1188" s="12"/>
      <c r="Q1188" s="12"/>
      <c r="R1188" s="12"/>
      <c r="S1188" s="12"/>
      <c r="T1188" s="12"/>
      <c r="U1188" s="12">
        <v>8387.5</v>
      </c>
      <c r="V1188" s="12">
        <v>386594.9</v>
      </c>
      <c r="W1188" s="12"/>
      <c r="X1188" s="12">
        <v>453000</v>
      </c>
      <c r="Y1188" s="12">
        <f t="shared" si="21"/>
        <v>847982.4</v>
      </c>
    </row>
    <row r="1189" spans="1:25" ht="15">
      <c r="A1189">
        <v>2013</v>
      </c>
      <c r="B1189" t="s">
        <v>573</v>
      </c>
      <c r="C1189" t="s">
        <v>92</v>
      </c>
      <c r="D1189" t="s">
        <v>92</v>
      </c>
      <c r="E1189" t="s">
        <v>25</v>
      </c>
      <c r="F1189" t="s">
        <v>130</v>
      </c>
      <c r="G1189" t="s">
        <v>442</v>
      </c>
      <c r="H1189" t="s">
        <v>25</v>
      </c>
      <c r="I1189" t="s">
        <v>25</v>
      </c>
      <c r="J1189" t="s">
        <v>26</v>
      </c>
      <c r="K1189"/>
      <c r="L1189"/>
      <c r="M1189" s="12">
        <v>955.42</v>
      </c>
      <c r="N1189" s="12">
        <v>704.12</v>
      </c>
      <c r="O1189" s="12">
        <v>846.28</v>
      </c>
      <c r="P1189" s="12">
        <v>830.72</v>
      </c>
      <c r="Q1189" s="12">
        <v>989.63</v>
      </c>
      <c r="R1189" s="12">
        <v>1000</v>
      </c>
      <c r="S1189" s="12">
        <v>1117.94</v>
      </c>
      <c r="T1189" s="12">
        <v>944.1</v>
      </c>
      <c r="U1189" s="12"/>
      <c r="V1189" s="12"/>
      <c r="W1189" s="12"/>
      <c r="X1189" s="12"/>
      <c r="Y1189" s="12">
        <f t="shared" si="21"/>
        <v>7388.2100000000009</v>
      </c>
    </row>
    <row r="1190" spans="1:25" ht="15">
      <c r="A1190">
        <v>2013</v>
      </c>
      <c r="B1190" t="s">
        <v>573</v>
      </c>
      <c r="C1190" t="s">
        <v>92</v>
      </c>
      <c r="D1190" t="s">
        <v>92</v>
      </c>
      <c r="E1190" t="s">
        <v>25</v>
      </c>
      <c r="F1190" t="s">
        <v>130</v>
      </c>
      <c r="G1190" t="s">
        <v>442</v>
      </c>
      <c r="H1190" t="s">
        <v>25</v>
      </c>
      <c r="I1190" t="s">
        <v>25</v>
      </c>
      <c r="J1190" t="s">
        <v>131</v>
      </c>
      <c r="K1190"/>
      <c r="L1190"/>
      <c r="M1190" s="12">
        <v>20000</v>
      </c>
      <c r="N1190" s="12">
        <v>20000</v>
      </c>
      <c r="O1190" s="12">
        <v>20000</v>
      </c>
      <c r="P1190" s="12">
        <v>20000</v>
      </c>
      <c r="Q1190" s="12">
        <v>20000</v>
      </c>
      <c r="R1190" s="12">
        <v>20000</v>
      </c>
      <c r="S1190" s="12">
        <v>20000</v>
      </c>
      <c r="T1190" s="12">
        <v>20000</v>
      </c>
      <c r="U1190" s="12"/>
      <c r="V1190" s="12"/>
      <c r="W1190" s="12"/>
      <c r="X1190" s="12"/>
      <c r="Y1190" s="12">
        <f t="shared" si="21"/>
        <v>160000</v>
      </c>
    </row>
    <row r="1191" spans="1:25" ht="15">
      <c r="A1191">
        <v>2013</v>
      </c>
      <c r="B1191" t="s">
        <v>573</v>
      </c>
      <c r="C1191" t="s">
        <v>92</v>
      </c>
      <c r="D1191" t="s">
        <v>92</v>
      </c>
      <c r="E1191" t="s">
        <v>25</v>
      </c>
      <c r="F1191" t="s">
        <v>130</v>
      </c>
      <c r="G1191" t="s">
        <v>439</v>
      </c>
      <c r="H1191" t="s">
        <v>25</v>
      </c>
      <c r="I1191" t="s">
        <v>25</v>
      </c>
      <c r="J1191" t="s">
        <v>26</v>
      </c>
      <c r="K1191"/>
      <c r="L1191"/>
      <c r="M1191" s="12"/>
      <c r="N1191" s="12"/>
      <c r="O1191" s="12"/>
      <c r="P1191" s="12"/>
      <c r="Q1191" s="12"/>
      <c r="R1191" s="12"/>
      <c r="S1191" s="12"/>
      <c r="T1191" s="12"/>
      <c r="U1191" s="12">
        <v>1007.4</v>
      </c>
      <c r="V1191" s="12"/>
      <c r="W1191" s="12">
        <v>1000</v>
      </c>
      <c r="X1191" s="12">
        <v>1500</v>
      </c>
      <c r="Y1191" s="12">
        <f t="shared" si="21"/>
        <v>3507.4</v>
      </c>
    </row>
    <row r="1192" spans="1:25" ht="15">
      <c r="A1192">
        <v>2013</v>
      </c>
      <c r="B1192" t="s">
        <v>573</v>
      </c>
      <c r="C1192" t="s">
        <v>92</v>
      </c>
      <c r="D1192" t="s">
        <v>92</v>
      </c>
      <c r="E1192" t="s">
        <v>25</v>
      </c>
      <c r="F1192" t="s">
        <v>130</v>
      </c>
      <c r="G1192" t="s">
        <v>439</v>
      </c>
      <c r="H1192" t="s">
        <v>25</v>
      </c>
      <c r="I1192" t="s">
        <v>25</v>
      </c>
      <c r="J1192" t="s">
        <v>131</v>
      </c>
      <c r="K1192"/>
      <c r="L1192"/>
      <c r="M1192" s="12"/>
      <c r="N1192" s="12"/>
      <c r="O1192" s="12"/>
      <c r="P1192" s="12"/>
      <c r="Q1192" s="12"/>
      <c r="R1192" s="12"/>
      <c r="S1192" s="12"/>
      <c r="T1192" s="12"/>
      <c r="U1192" s="12">
        <v>20000</v>
      </c>
      <c r="V1192" s="12"/>
      <c r="W1192" s="12">
        <v>20000</v>
      </c>
      <c r="X1192" s="12">
        <v>20000</v>
      </c>
      <c r="Y1192" s="12">
        <f t="shared" si="21"/>
        <v>60000</v>
      </c>
    </row>
    <row r="1193" spans="1:25" ht="15">
      <c r="A1193">
        <v>2013</v>
      </c>
      <c r="B1193" t="s">
        <v>573</v>
      </c>
      <c r="C1193" t="s">
        <v>92</v>
      </c>
      <c r="D1193" t="s">
        <v>92</v>
      </c>
      <c r="E1193" t="s">
        <v>148</v>
      </c>
      <c r="F1193" t="s">
        <v>157</v>
      </c>
      <c r="G1193" t="s">
        <v>442</v>
      </c>
      <c r="H1193" t="s">
        <v>148</v>
      </c>
      <c r="I1193" t="s">
        <v>148</v>
      </c>
      <c r="J1193" t="s">
        <v>148</v>
      </c>
      <c r="K1193"/>
      <c r="L1193"/>
      <c r="M1193" s="12">
        <v>42320</v>
      </c>
      <c r="N1193" s="12">
        <v>25940</v>
      </c>
      <c r="O1193" s="12">
        <v>38520</v>
      </c>
      <c r="P1193" s="12">
        <v>42871.64</v>
      </c>
      <c r="Q1193" s="12">
        <v>43627.8</v>
      </c>
      <c r="R1193" s="12">
        <v>43282.57</v>
      </c>
      <c r="S1193" s="12">
        <v>44302.47</v>
      </c>
      <c r="T1193" s="12">
        <v>40820.1</v>
      </c>
      <c r="U1193" s="12"/>
      <c r="V1193" s="12"/>
      <c r="W1193" s="12"/>
      <c r="X1193" s="12"/>
      <c r="Y1193" s="12">
        <f t="shared" si="21"/>
        <v>321684.57999999996</v>
      </c>
    </row>
    <row r="1194" spans="1:25" ht="15">
      <c r="A1194">
        <v>2013</v>
      </c>
      <c r="B1194" t="s">
        <v>573</v>
      </c>
      <c r="C1194" t="s">
        <v>92</v>
      </c>
      <c r="D1194" t="s">
        <v>92</v>
      </c>
      <c r="E1194" t="s">
        <v>148</v>
      </c>
      <c r="F1194" t="s">
        <v>157</v>
      </c>
      <c r="G1194" t="s">
        <v>439</v>
      </c>
      <c r="H1194" t="s">
        <v>148</v>
      </c>
      <c r="I1194" t="s">
        <v>148</v>
      </c>
      <c r="J1194" t="s">
        <v>148</v>
      </c>
      <c r="K1194"/>
      <c r="L1194"/>
      <c r="M1194" s="12"/>
      <c r="N1194" s="12"/>
      <c r="O1194" s="12"/>
      <c r="P1194" s="12"/>
      <c r="Q1194" s="12"/>
      <c r="R1194" s="12"/>
      <c r="S1194" s="12"/>
      <c r="T1194" s="12"/>
      <c r="U1194" s="12">
        <v>36261.620000000003</v>
      </c>
      <c r="V1194" s="12">
        <v>38675.22</v>
      </c>
      <c r="W1194" s="12">
        <v>38520</v>
      </c>
      <c r="X1194" s="12">
        <v>41614</v>
      </c>
      <c r="Y1194" s="12">
        <f t="shared" si="21"/>
        <v>155070.84</v>
      </c>
    </row>
    <row r="1195" spans="1:25" ht="15">
      <c r="A1195">
        <v>2013</v>
      </c>
      <c r="B1195" t="s">
        <v>573</v>
      </c>
      <c r="C1195" t="s">
        <v>92</v>
      </c>
      <c r="D1195" t="s">
        <v>92</v>
      </c>
      <c r="E1195" t="s">
        <v>148</v>
      </c>
      <c r="F1195" t="s">
        <v>155</v>
      </c>
      <c r="G1195" t="s">
        <v>439</v>
      </c>
      <c r="H1195" t="s">
        <v>148</v>
      </c>
      <c r="I1195" t="s">
        <v>148</v>
      </c>
      <c r="J1195" t="s">
        <v>148</v>
      </c>
      <c r="K1195"/>
      <c r="L1195"/>
      <c r="M1195" s="12"/>
      <c r="N1195" s="12">
        <v>17520</v>
      </c>
      <c r="O1195" s="12">
        <v>19642</v>
      </c>
      <c r="P1195" s="12">
        <v>19642</v>
      </c>
      <c r="Q1195" s="12">
        <v>15713.6</v>
      </c>
      <c r="R1195" s="12">
        <v>19642</v>
      </c>
      <c r="S1195" s="12">
        <v>19642</v>
      </c>
      <c r="T1195" s="12">
        <v>19642</v>
      </c>
      <c r="U1195" s="12">
        <v>19642</v>
      </c>
      <c r="V1195" s="12">
        <v>19642</v>
      </c>
      <c r="W1195" s="12">
        <v>19642</v>
      </c>
      <c r="X1195" s="12">
        <v>19642</v>
      </c>
      <c r="Y1195" s="12">
        <f t="shared" si="21"/>
        <v>210011.6</v>
      </c>
    </row>
    <row r="1196" spans="1:25" ht="15">
      <c r="A1196">
        <v>2013</v>
      </c>
      <c r="B1196" t="s">
        <v>573</v>
      </c>
      <c r="C1196" t="s">
        <v>92</v>
      </c>
      <c r="D1196" t="s">
        <v>92</v>
      </c>
      <c r="E1196" t="s">
        <v>148</v>
      </c>
      <c r="F1196" t="s">
        <v>130</v>
      </c>
      <c r="G1196" t="s">
        <v>442</v>
      </c>
      <c r="H1196" t="s">
        <v>148</v>
      </c>
      <c r="I1196" t="s">
        <v>148</v>
      </c>
      <c r="J1196" t="s">
        <v>148</v>
      </c>
      <c r="K1196"/>
      <c r="L1196"/>
      <c r="M1196" s="12">
        <v>37749.11</v>
      </c>
      <c r="N1196" s="12">
        <v>42476.25</v>
      </c>
      <c r="O1196" s="12">
        <v>40690</v>
      </c>
      <c r="P1196" s="12">
        <v>40829</v>
      </c>
      <c r="Q1196" s="12">
        <v>38072</v>
      </c>
      <c r="R1196" s="12">
        <v>38072</v>
      </c>
      <c r="S1196" s="12">
        <v>38189.75</v>
      </c>
      <c r="T1196" s="12">
        <v>38072</v>
      </c>
      <c r="U1196" s="12"/>
      <c r="V1196" s="12"/>
      <c r="W1196" s="12"/>
      <c r="X1196" s="12"/>
      <c r="Y1196" s="12">
        <f t="shared" si="21"/>
        <v>314150.11</v>
      </c>
    </row>
    <row r="1197" spans="1:25" ht="15">
      <c r="A1197">
        <v>2013</v>
      </c>
      <c r="B1197" t="s">
        <v>573</v>
      </c>
      <c r="C1197" t="s">
        <v>92</v>
      </c>
      <c r="D1197" t="s">
        <v>92</v>
      </c>
      <c r="E1197" t="s">
        <v>148</v>
      </c>
      <c r="F1197" t="s">
        <v>130</v>
      </c>
      <c r="G1197" t="s">
        <v>439</v>
      </c>
      <c r="H1197" t="s">
        <v>148</v>
      </c>
      <c r="I1197" t="s">
        <v>148</v>
      </c>
      <c r="J1197" t="s">
        <v>148</v>
      </c>
      <c r="K1197"/>
      <c r="L1197"/>
      <c r="M1197" s="12"/>
      <c r="N1197" s="12"/>
      <c r="O1197" s="12"/>
      <c r="P1197" s="12"/>
      <c r="Q1197" s="12"/>
      <c r="R1197" s="12"/>
      <c r="S1197" s="12"/>
      <c r="T1197" s="12"/>
      <c r="U1197" s="12">
        <v>38072</v>
      </c>
      <c r="V1197" s="12">
        <v>38439.199999999997</v>
      </c>
      <c r="W1197" s="12">
        <v>38072</v>
      </c>
      <c r="X1197" s="12">
        <v>38072</v>
      </c>
      <c r="Y1197" s="12">
        <f t="shared" si="21"/>
        <v>152655.20000000001</v>
      </c>
    </row>
    <row r="1198" spans="1:25" ht="15">
      <c r="A1198">
        <v>2013</v>
      </c>
      <c r="B1198" t="s">
        <v>573</v>
      </c>
      <c r="C1198" t="s">
        <v>92</v>
      </c>
      <c r="D1198" t="s">
        <v>92</v>
      </c>
      <c r="E1198" t="s">
        <v>148</v>
      </c>
      <c r="F1198" t="s">
        <v>235</v>
      </c>
      <c r="G1198" t="s">
        <v>439</v>
      </c>
      <c r="H1198" t="s">
        <v>148</v>
      </c>
      <c r="I1198" t="s">
        <v>148</v>
      </c>
      <c r="J1198" t="s">
        <v>148</v>
      </c>
      <c r="K1198"/>
      <c r="L1198"/>
      <c r="M1198" s="12">
        <v>87766.52</v>
      </c>
      <c r="N1198" s="12">
        <v>89476.9</v>
      </c>
      <c r="O1198" s="12">
        <v>116728.16</v>
      </c>
      <c r="P1198" s="12">
        <v>145818.93</v>
      </c>
      <c r="Q1198" s="12">
        <v>155243.87</v>
      </c>
      <c r="R1198" s="12">
        <v>163487.67999999999</v>
      </c>
      <c r="S1198" s="12">
        <v>165075.23000000001</v>
      </c>
      <c r="T1198" s="12">
        <v>148688.62</v>
      </c>
      <c r="U1198" s="12">
        <v>126840.46</v>
      </c>
      <c r="V1198" s="12">
        <v>104673.22</v>
      </c>
      <c r="W1198" s="12">
        <v>102376</v>
      </c>
      <c r="X1198" s="12">
        <v>102376</v>
      </c>
      <c r="Y1198" s="12">
        <f t="shared" si="21"/>
        <v>1508551.5899999996</v>
      </c>
    </row>
    <row r="1199" spans="1:25" ht="15">
      <c r="A1199">
        <v>2013</v>
      </c>
      <c r="B1199" t="s">
        <v>573</v>
      </c>
      <c r="C1199" t="s">
        <v>92</v>
      </c>
      <c r="D1199" t="s">
        <v>92</v>
      </c>
      <c r="E1199" t="s">
        <v>148</v>
      </c>
      <c r="F1199" t="s">
        <v>93</v>
      </c>
      <c r="G1199" t="s">
        <v>439</v>
      </c>
      <c r="H1199" t="s">
        <v>148</v>
      </c>
      <c r="I1199" t="s">
        <v>148</v>
      </c>
      <c r="J1199" t="s">
        <v>148</v>
      </c>
      <c r="K1199"/>
      <c r="L1199"/>
      <c r="M1199" s="12">
        <v>34131.980000000003</v>
      </c>
      <c r="N1199" s="12">
        <v>37781.760000000002</v>
      </c>
      <c r="O1199" s="12">
        <v>38210.35</v>
      </c>
      <c r="P1199" s="12">
        <v>42478.17</v>
      </c>
      <c r="Q1199" s="12">
        <v>54139.46</v>
      </c>
      <c r="R1199" s="12">
        <v>57455.21</v>
      </c>
      <c r="S1199" s="12">
        <v>43616.78</v>
      </c>
      <c r="T1199" s="12">
        <v>42781.72</v>
      </c>
      <c r="U1199" s="12">
        <v>36876.660000000003</v>
      </c>
      <c r="V1199" s="12">
        <v>36939.06</v>
      </c>
      <c r="W1199" s="12">
        <v>43494</v>
      </c>
      <c r="X1199" s="12">
        <v>43494</v>
      </c>
      <c r="Y1199" s="12">
        <f t="shared" si="21"/>
        <v>511399.14999999997</v>
      </c>
    </row>
    <row r="1200" spans="1:25" ht="15">
      <c r="A1200">
        <v>2013</v>
      </c>
      <c r="B1200" t="s">
        <v>573</v>
      </c>
      <c r="C1200" t="s">
        <v>92</v>
      </c>
      <c r="D1200" t="s">
        <v>92</v>
      </c>
      <c r="E1200" t="s">
        <v>37</v>
      </c>
      <c r="F1200" t="s">
        <v>157</v>
      </c>
      <c r="G1200" t="s">
        <v>442</v>
      </c>
      <c r="H1200" t="s">
        <v>37</v>
      </c>
      <c r="I1200" t="s">
        <v>37</v>
      </c>
      <c r="J1200" t="s">
        <v>37</v>
      </c>
      <c r="K1200"/>
      <c r="L1200"/>
      <c r="M1200" s="12">
        <v>1466</v>
      </c>
      <c r="N1200" s="12"/>
      <c r="O1200" s="12">
        <v>2822.85</v>
      </c>
      <c r="P1200" s="12">
        <v>530</v>
      </c>
      <c r="Q1200" s="12"/>
      <c r="R1200" s="12">
        <v>1489</v>
      </c>
      <c r="S1200" s="12">
        <v>1590</v>
      </c>
      <c r="T1200" s="12">
        <v>1737</v>
      </c>
      <c r="U1200" s="12"/>
      <c r="V1200" s="12"/>
      <c r="W1200" s="12"/>
      <c r="X1200" s="12"/>
      <c r="Y1200" s="12">
        <f t="shared" si="21"/>
        <v>9634.85</v>
      </c>
    </row>
    <row r="1201" spans="1:25" ht="15">
      <c r="A1201">
        <v>2013</v>
      </c>
      <c r="B1201" t="s">
        <v>573</v>
      </c>
      <c r="C1201" t="s">
        <v>92</v>
      </c>
      <c r="D1201" t="s">
        <v>92</v>
      </c>
      <c r="E1201" t="s">
        <v>37</v>
      </c>
      <c r="F1201" t="s">
        <v>157</v>
      </c>
      <c r="G1201" t="s">
        <v>439</v>
      </c>
      <c r="H1201" t="s">
        <v>37</v>
      </c>
      <c r="I1201" t="s">
        <v>37</v>
      </c>
      <c r="J1201" t="s">
        <v>37</v>
      </c>
      <c r="K1201"/>
      <c r="L1201"/>
      <c r="M1201" s="12"/>
      <c r="N1201" s="12"/>
      <c r="O1201" s="12"/>
      <c r="P1201" s="12"/>
      <c r="Q1201" s="12"/>
      <c r="R1201" s="12"/>
      <c r="S1201" s="12"/>
      <c r="T1201" s="12"/>
      <c r="U1201" s="12">
        <v>1736.33</v>
      </c>
      <c r="V1201" s="12">
        <v>1156.23</v>
      </c>
      <c r="W1201" s="12">
        <v>2000</v>
      </c>
      <c r="X1201" s="12">
        <v>2000</v>
      </c>
      <c r="Y1201" s="12">
        <f t="shared" si="21"/>
        <v>6892.5599999999995</v>
      </c>
    </row>
    <row r="1202" spans="1:25" ht="15">
      <c r="A1202">
        <v>2013</v>
      </c>
      <c r="B1202" t="s">
        <v>573</v>
      </c>
      <c r="C1202" t="s">
        <v>92</v>
      </c>
      <c r="D1202" t="s">
        <v>92</v>
      </c>
      <c r="E1202" t="s">
        <v>37</v>
      </c>
      <c r="F1202" t="s">
        <v>155</v>
      </c>
      <c r="G1202" t="s">
        <v>439</v>
      </c>
      <c r="H1202" t="s">
        <v>37</v>
      </c>
      <c r="I1202" t="s">
        <v>37</v>
      </c>
      <c r="J1202" t="s">
        <v>37</v>
      </c>
      <c r="K1202"/>
      <c r="L1202"/>
      <c r="M1202" s="12"/>
      <c r="N1202" s="12"/>
      <c r="O1202" s="12">
        <v>1602.81</v>
      </c>
      <c r="P1202" s="12"/>
      <c r="Q1202" s="12">
        <v>3250</v>
      </c>
      <c r="R1202" s="12"/>
      <c r="S1202" s="12">
        <v>650.92999999999995</v>
      </c>
      <c r="T1202" s="12"/>
      <c r="U1202" s="12"/>
      <c r="V1202" s="12">
        <v>938.26</v>
      </c>
      <c r="W1202" s="12">
        <v>3000</v>
      </c>
      <c r="X1202" s="12">
        <v>3000</v>
      </c>
      <c r="Y1202" s="12">
        <f t="shared" si="21"/>
        <v>12442</v>
      </c>
    </row>
    <row r="1203" spans="1:25" ht="15">
      <c r="A1203">
        <v>2013</v>
      </c>
      <c r="B1203" t="s">
        <v>573</v>
      </c>
      <c r="C1203" t="s">
        <v>92</v>
      </c>
      <c r="D1203" t="s">
        <v>92</v>
      </c>
      <c r="E1203" t="s">
        <v>37</v>
      </c>
      <c r="F1203" t="s">
        <v>130</v>
      </c>
      <c r="G1203" t="s">
        <v>442</v>
      </c>
      <c r="H1203" t="s">
        <v>37</v>
      </c>
      <c r="I1203" t="s">
        <v>37</v>
      </c>
      <c r="J1203" t="s">
        <v>37</v>
      </c>
      <c r="K1203"/>
      <c r="L1203"/>
      <c r="M1203" s="12">
        <v>4510</v>
      </c>
      <c r="N1203" s="12">
        <v>5000</v>
      </c>
      <c r="O1203" s="12">
        <v>6850</v>
      </c>
      <c r="P1203" s="12">
        <v>5000</v>
      </c>
      <c r="Q1203" s="12">
        <v>4950</v>
      </c>
      <c r="R1203" s="12">
        <v>6580</v>
      </c>
      <c r="S1203" s="12">
        <v>6142.97</v>
      </c>
      <c r="T1203" s="12">
        <v>5495</v>
      </c>
      <c r="U1203" s="12"/>
      <c r="V1203" s="12"/>
      <c r="W1203" s="12"/>
      <c r="X1203" s="12"/>
      <c r="Y1203" s="12">
        <f t="shared" si="21"/>
        <v>44527.97</v>
      </c>
    </row>
    <row r="1204" spans="1:25" ht="15">
      <c r="A1204">
        <v>2013</v>
      </c>
      <c r="B1204" t="s">
        <v>573</v>
      </c>
      <c r="C1204" t="s">
        <v>92</v>
      </c>
      <c r="D1204" t="s">
        <v>92</v>
      </c>
      <c r="E1204" t="s">
        <v>37</v>
      </c>
      <c r="F1204" t="s">
        <v>130</v>
      </c>
      <c r="G1204" t="s">
        <v>439</v>
      </c>
      <c r="H1204" t="s">
        <v>37</v>
      </c>
      <c r="I1204" t="s">
        <v>37</v>
      </c>
      <c r="J1204" t="s">
        <v>37</v>
      </c>
      <c r="K1204"/>
      <c r="L1204"/>
      <c r="M1204" s="12"/>
      <c r="N1204" s="12"/>
      <c r="O1204" s="12"/>
      <c r="P1204" s="12"/>
      <c r="Q1204" s="12"/>
      <c r="R1204" s="12"/>
      <c r="S1204" s="12"/>
      <c r="T1204" s="12"/>
      <c r="U1204" s="12">
        <v>4502.2</v>
      </c>
      <c r="V1204" s="12">
        <v>5500</v>
      </c>
      <c r="W1204" s="12">
        <v>6600</v>
      </c>
      <c r="X1204" s="12">
        <v>7600</v>
      </c>
      <c r="Y1204" s="12">
        <f t="shared" si="21"/>
        <v>24202.2</v>
      </c>
    </row>
    <row r="1205" spans="1:25" ht="15">
      <c r="A1205">
        <v>2013</v>
      </c>
      <c r="B1205" t="s">
        <v>573</v>
      </c>
      <c r="C1205" t="s">
        <v>92</v>
      </c>
      <c r="D1205" t="s">
        <v>92</v>
      </c>
      <c r="E1205" t="s">
        <v>37</v>
      </c>
      <c r="F1205" t="s">
        <v>235</v>
      </c>
      <c r="G1205" t="s">
        <v>439</v>
      </c>
      <c r="H1205" t="s">
        <v>37</v>
      </c>
      <c r="I1205" t="s">
        <v>37</v>
      </c>
      <c r="J1205" t="s">
        <v>37</v>
      </c>
      <c r="K1205"/>
      <c r="L1205"/>
      <c r="M1205" s="12"/>
      <c r="N1205" s="12">
        <v>100</v>
      </c>
      <c r="O1205" s="12">
        <v>50</v>
      </c>
      <c r="P1205" s="12">
        <v>750</v>
      </c>
      <c r="Q1205" s="12">
        <v>1067</v>
      </c>
      <c r="R1205" s="12">
        <v>458.5</v>
      </c>
      <c r="S1205" s="12">
        <v>125</v>
      </c>
      <c r="T1205" s="12"/>
      <c r="U1205" s="12"/>
      <c r="V1205" s="12"/>
      <c r="W1205" s="12">
        <v>300</v>
      </c>
      <c r="X1205" s="12">
        <v>300</v>
      </c>
      <c r="Y1205" s="12">
        <f t="shared" si="21"/>
        <v>3150.5</v>
      </c>
    </row>
    <row r="1206" spans="1:25" ht="15">
      <c r="A1206">
        <v>2013</v>
      </c>
      <c r="B1206" t="s">
        <v>573</v>
      </c>
      <c r="C1206" t="s">
        <v>92</v>
      </c>
      <c r="D1206" t="s">
        <v>92</v>
      </c>
      <c r="E1206" t="s">
        <v>37</v>
      </c>
      <c r="F1206" t="s">
        <v>93</v>
      </c>
      <c r="G1206" t="s">
        <v>439</v>
      </c>
      <c r="H1206" t="s">
        <v>37</v>
      </c>
      <c r="I1206" t="s">
        <v>37</v>
      </c>
      <c r="J1206" t="s">
        <v>37</v>
      </c>
      <c r="K1206"/>
      <c r="L1206"/>
      <c r="M1206" s="12"/>
      <c r="N1206" s="12"/>
      <c r="O1206" s="12"/>
      <c r="P1206" s="12"/>
      <c r="Q1206" s="12"/>
      <c r="R1206" s="12"/>
      <c r="S1206" s="12">
        <v>100</v>
      </c>
      <c r="T1206" s="12"/>
      <c r="U1206" s="12"/>
      <c r="V1206" s="12"/>
      <c r="W1206" s="12"/>
      <c r="X1206" s="12"/>
      <c r="Y1206" s="12">
        <f t="shared" si="21"/>
        <v>100</v>
      </c>
    </row>
    <row r="1207" spans="1:25" ht="15">
      <c r="A1207">
        <v>2013</v>
      </c>
      <c r="B1207" t="s">
        <v>573</v>
      </c>
      <c r="C1207" t="s">
        <v>92</v>
      </c>
      <c r="D1207" t="s">
        <v>92</v>
      </c>
      <c r="E1207" t="s">
        <v>27</v>
      </c>
      <c r="F1207" t="s">
        <v>157</v>
      </c>
      <c r="G1207" t="s">
        <v>442</v>
      </c>
      <c r="H1207" t="s">
        <v>27</v>
      </c>
      <c r="I1207" t="s">
        <v>27</v>
      </c>
      <c r="J1207" t="s">
        <v>28</v>
      </c>
      <c r="K1207"/>
      <c r="L1207"/>
      <c r="M1207" s="12">
        <v>1093.18</v>
      </c>
      <c r="N1207" s="12">
        <v>605.36</v>
      </c>
      <c r="O1207" s="12">
        <v>537.73</v>
      </c>
      <c r="P1207" s="12">
        <v>399.05</v>
      </c>
      <c r="Q1207" s="12">
        <v>554.35</v>
      </c>
      <c r="R1207" s="12">
        <v>1203.31</v>
      </c>
      <c r="S1207" s="12">
        <v>983.27</v>
      </c>
      <c r="T1207" s="12">
        <v>498.26</v>
      </c>
      <c r="U1207" s="12"/>
      <c r="V1207" s="12"/>
      <c r="W1207" s="12"/>
      <c r="X1207" s="12"/>
      <c r="Y1207" s="12">
        <f t="shared" si="21"/>
        <v>5874.51</v>
      </c>
    </row>
    <row r="1208" spans="1:25" ht="15">
      <c r="A1208">
        <v>2013</v>
      </c>
      <c r="B1208" t="s">
        <v>573</v>
      </c>
      <c r="C1208" t="s">
        <v>92</v>
      </c>
      <c r="D1208" t="s">
        <v>92</v>
      </c>
      <c r="E1208" t="s">
        <v>27</v>
      </c>
      <c r="F1208" t="s">
        <v>157</v>
      </c>
      <c r="G1208" t="s">
        <v>439</v>
      </c>
      <c r="H1208" t="s">
        <v>27</v>
      </c>
      <c r="I1208" t="s">
        <v>27</v>
      </c>
      <c r="J1208" t="s">
        <v>28</v>
      </c>
      <c r="K1208"/>
      <c r="L1208"/>
      <c r="M1208" s="12"/>
      <c r="N1208" s="12"/>
      <c r="O1208" s="12"/>
      <c r="P1208" s="12"/>
      <c r="Q1208" s="12"/>
      <c r="R1208" s="12"/>
      <c r="S1208" s="12"/>
      <c r="T1208" s="12"/>
      <c r="U1208" s="12">
        <v>296.14</v>
      </c>
      <c r="V1208" s="12">
        <v>704.95</v>
      </c>
      <c r="W1208" s="12">
        <v>460</v>
      </c>
      <c r="X1208" s="12">
        <v>560</v>
      </c>
      <c r="Y1208" s="12">
        <f t="shared" si="21"/>
        <v>2021.0900000000001</v>
      </c>
    </row>
    <row r="1209" spans="1:25" ht="15">
      <c r="A1209">
        <v>2013</v>
      </c>
      <c r="B1209" t="s">
        <v>573</v>
      </c>
      <c r="C1209" t="s">
        <v>92</v>
      </c>
      <c r="D1209" t="s">
        <v>92</v>
      </c>
      <c r="E1209" t="s">
        <v>27</v>
      </c>
      <c r="F1209" t="s">
        <v>130</v>
      </c>
      <c r="G1209" t="s">
        <v>442</v>
      </c>
      <c r="H1209" t="s">
        <v>27</v>
      </c>
      <c r="I1209" t="s">
        <v>27</v>
      </c>
      <c r="J1209" t="s">
        <v>28</v>
      </c>
      <c r="K1209"/>
      <c r="L1209"/>
      <c r="M1209" s="12">
        <v>400</v>
      </c>
      <c r="N1209" s="12">
        <v>537.6</v>
      </c>
      <c r="O1209" s="12">
        <v>1501</v>
      </c>
      <c r="P1209" s="12">
        <v>1043.05</v>
      </c>
      <c r="Q1209" s="12">
        <v>1082.79</v>
      </c>
      <c r="R1209" s="12">
        <v>1061.24</v>
      </c>
      <c r="S1209" s="12">
        <v>1085.42</v>
      </c>
      <c r="T1209" s="12">
        <v>678.16</v>
      </c>
      <c r="U1209" s="12"/>
      <c r="V1209" s="12"/>
      <c r="W1209" s="12"/>
      <c r="X1209" s="12"/>
      <c r="Y1209" s="12">
        <f t="shared" si="21"/>
        <v>7389.2599999999993</v>
      </c>
    </row>
    <row r="1210" spans="1:25" ht="15">
      <c r="A1210">
        <v>2013</v>
      </c>
      <c r="B1210" t="s">
        <v>573</v>
      </c>
      <c r="C1210" t="s">
        <v>92</v>
      </c>
      <c r="D1210" t="s">
        <v>92</v>
      </c>
      <c r="E1210" t="s">
        <v>27</v>
      </c>
      <c r="F1210" t="s">
        <v>130</v>
      </c>
      <c r="G1210" t="s">
        <v>442</v>
      </c>
      <c r="H1210" t="s">
        <v>27</v>
      </c>
      <c r="I1210" t="s">
        <v>27</v>
      </c>
      <c r="J1210" t="s">
        <v>60</v>
      </c>
      <c r="K1210"/>
      <c r="L1210"/>
      <c r="M1210" s="12">
        <v>204</v>
      </c>
      <c r="N1210" s="12">
        <v>204</v>
      </c>
      <c r="O1210" s="12">
        <v>849</v>
      </c>
      <c r="P1210" s="12">
        <v>213</v>
      </c>
      <c r="Q1210" s="12">
        <v>204</v>
      </c>
      <c r="R1210" s="12">
        <v>273</v>
      </c>
      <c r="S1210" s="12">
        <v>102</v>
      </c>
      <c r="T1210" s="12">
        <v>204</v>
      </c>
      <c r="U1210" s="12"/>
      <c r="V1210" s="12"/>
      <c r="W1210" s="12"/>
      <c r="X1210" s="12"/>
      <c r="Y1210" s="12">
        <f t="shared" si="21"/>
        <v>2253</v>
      </c>
    </row>
    <row r="1211" spans="1:25" ht="15">
      <c r="A1211">
        <v>2013</v>
      </c>
      <c r="B1211" t="s">
        <v>573</v>
      </c>
      <c r="C1211" t="s">
        <v>92</v>
      </c>
      <c r="D1211" t="s">
        <v>92</v>
      </c>
      <c r="E1211" t="s">
        <v>27</v>
      </c>
      <c r="F1211" t="s">
        <v>130</v>
      </c>
      <c r="G1211" t="s">
        <v>439</v>
      </c>
      <c r="H1211" t="s">
        <v>27</v>
      </c>
      <c r="I1211" t="s">
        <v>27</v>
      </c>
      <c r="J1211" t="s">
        <v>28</v>
      </c>
      <c r="K1211"/>
      <c r="L1211"/>
      <c r="M1211" s="12"/>
      <c r="N1211" s="12"/>
      <c r="O1211" s="12"/>
      <c r="P1211" s="12"/>
      <c r="Q1211" s="12"/>
      <c r="R1211" s="12"/>
      <c r="S1211" s="12"/>
      <c r="T1211" s="12"/>
      <c r="U1211" s="12">
        <v>689.69</v>
      </c>
      <c r="V1211" s="12">
        <v>663.53</v>
      </c>
      <c r="W1211" s="12">
        <v>700</v>
      </c>
      <c r="X1211" s="12">
        <v>700</v>
      </c>
      <c r="Y1211" s="12">
        <f t="shared" si="21"/>
        <v>2753.2200000000003</v>
      </c>
    </row>
    <row r="1212" spans="1:25" ht="15">
      <c r="A1212">
        <v>2013</v>
      </c>
      <c r="B1212" t="s">
        <v>573</v>
      </c>
      <c r="C1212" t="s">
        <v>92</v>
      </c>
      <c r="D1212" t="s">
        <v>92</v>
      </c>
      <c r="E1212" t="s">
        <v>27</v>
      </c>
      <c r="F1212" t="s">
        <v>130</v>
      </c>
      <c r="G1212" t="s">
        <v>439</v>
      </c>
      <c r="H1212" t="s">
        <v>27</v>
      </c>
      <c r="I1212" t="s">
        <v>27</v>
      </c>
      <c r="J1212" t="s">
        <v>60</v>
      </c>
      <c r="K1212"/>
      <c r="L1212"/>
      <c r="M1212" s="12"/>
      <c r="N1212" s="12"/>
      <c r="O1212" s="12"/>
      <c r="P1212" s="12"/>
      <c r="Q1212" s="12"/>
      <c r="R1212" s="12"/>
      <c r="S1212" s="12"/>
      <c r="T1212" s="12"/>
      <c r="U1212" s="12">
        <v>204</v>
      </c>
      <c r="V1212" s="12">
        <v>204</v>
      </c>
      <c r="W1212" s="12">
        <v>453</v>
      </c>
      <c r="X1212" s="12">
        <v>450</v>
      </c>
      <c r="Y1212" s="12">
        <f t="shared" si="21"/>
        <v>1311</v>
      </c>
    </row>
    <row r="1213" spans="1:25" ht="15">
      <c r="A1213">
        <v>2013</v>
      </c>
      <c r="B1213" t="s">
        <v>573</v>
      </c>
      <c r="C1213" t="s">
        <v>92</v>
      </c>
      <c r="D1213" t="s">
        <v>92</v>
      </c>
      <c r="E1213" t="s">
        <v>27</v>
      </c>
      <c r="F1213" t="s">
        <v>235</v>
      </c>
      <c r="G1213" t="s">
        <v>439</v>
      </c>
      <c r="H1213" t="s">
        <v>27</v>
      </c>
      <c r="I1213" t="s">
        <v>27</v>
      </c>
      <c r="J1213" t="s">
        <v>28</v>
      </c>
      <c r="K1213"/>
      <c r="L1213"/>
      <c r="M1213" s="12">
        <v>658.7</v>
      </c>
      <c r="N1213" s="12">
        <v>797.3</v>
      </c>
      <c r="O1213" s="12">
        <v>998.3</v>
      </c>
      <c r="P1213" s="12">
        <v>1016</v>
      </c>
      <c r="Q1213" s="12">
        <v>1051.4000000000001</v>
      </c>
      <c r="R1213" s="12">
        <v>1027</v>
      </c>
      <c r="S1213" s="12">
        <v>999.8</v>
      </c>
      <c r="T1213" s="12">
        <v>999.8</v>
      </c>
      <c r="U1213" s="12">
        <v>1019</v>
      </c>
      <c r="V1213" s="12">
        <v>994.3</v>
      </c>
      <c r="W1213" s="12">
        <v>1000</v>
      </c>
      <c r="X1213" s="12">
        <v>1000</v>
      </c>
      <c r="Y1213" s="12">
        <f t="shared" si="21"/>
        <v>11561.6</v>
      </c>
    </row>
    <row r="1214" spans="1:25" ht="15">
      <c r="A1214">
        <v>2013</v>
      </c>
      <c r="B1214" t="s">
        <v>573</v>
      </c>
      <c r="C1214" t="s">
        <v>92</v>
      </c>
      <c r="D1214" t="s">
        <v>92</v>
      </c>
      <c r="E1214" t="s">
        <v>57</v>
      </c>
      <c r="F1214" t="s">
        <v>157</v>
      </c>
      <c r="G1214" t="s">
        <v>442</v>
      </c>
      <c r="H1214" t="s">
        <v>57</v>
      </c>
      <c r="I1214" t="s">
        <v>57</v>
      </c>
      <c r="J1214" t="s">
        <v>241</v>
      </c>
      <c r="K1214"/>
      <c r="L1214"/>
      <c r="M1214" s="12"/>
      <c r="N1214" s="12"/>
      <c r="O1214" s="12"/>
      <c r="P1214" s="12"/>
      <c r="Q1214" s="12"/>
      <c r="R1214" s="12"/>
      <c r="S1214" s="12"/>
      <c r="T1214" s="12">
        <v>3500</v>
      </c>
      <c r="U1214" s="12"/>
      <c r="V1214" s="12"/>
      <c r="W1214" s="12"/>
      <c r="X1214" s="12"/>
      <c r="Y1214" s="12">
        <f t="shared" si="21"/>
        <v>3500</v>
      </c>
    </row>
    <row r="1215" spans="1:25" ht="15">
      <c r="A1215">
        <v>2013</v>
      </c>
      <c r="B1215" t="s">
        <v>574</v>
      </c>
      <c r="C1215" t="s">
        <v>92</v>
      </c>
      <c r="D1215" t="s">
        <v>92</v>
      </c>
      <c r="E1215" t="s">
        <v>22</v>
      </c>
      <c r="F1215" t="s">
        <v>157</v>
      </c>
      <c r="G1215" t="s">
        <v>442</v>
      </c>
      <c r="H1215" t="s">
        <v>22</v>
      </c>
      <c r="I1215" t="s">
        <v>145</v>
      </c>
      <c r="J1215" t="s">
        <v>146</v>
      </c>
      <c r="K1215"/>
      <c r="L1215"/>
      <c r="M1215" s="12">
        <v>646128.66</v>
      </c>
      <c r="N1215" s="12">
        <v>629509.56999999995</v>
      </c>
      <c r="O1215" s="12">
        <v>690237.27</v>
      </c>
      <c r="P1215" s="12">
        <v>722146.14</v>
      </c>
      <c r="Q1215" s="12">
        <v>1090121.1000000001</v>
      </c>
      <c r="R1215" s="12">
        <v>1513124.99</v>
      </c>
      <c r="S1215" s="12">
        <v>1185064.7</v>
      </c>
      <c r="T1215" s="12">
        <v>1242860.67</v>
      </c>
      <c r="U1215" s="12">
        <v>841786.77</v>
      </c>
      <c r="V1215" s="12"/>
      <c r="W1215" s="12">
        <v>723730</v>
      </c>
      <c r="X1215" s="12"/>
      <c r="Y1215" s="12">
        <f t="shared" si="21"/>
        <v>9284709.870000001</v>
      </c>
    </row>
    <row r="1216" spans="1:25" ht="15">
      <c r="A1216">
        <v>2013</v>
      </c>
      <c r="B1216" t="s">
        <v>573</v>
      </c>
      <c r="C1216" t="s">
        <v>92</v>
      </c>
      <c r="D1216" t="s">
        <v>92</v>
      </c>
      <c r="E1216" t="s">
        <v>22</v>
      </c>
      <c r="F1216" t="s">
        <v>157</v>
      </c>
      <c r="G1216" t="s">
        <v>442</v>
      </c>
      <c r="H1216" t="s">
        <v>22</v>
      </c>
      <c r="I1216" t="s">
        <v>23</v>
      </c>
      <c r="J1216" t="s">
        <v>263</v>
      </c>
      <c r="K1216"/>
      <c r="L1216"/>
      <c r="M1216" s="12">
        <v>2654</v>
      </c>
      <c r="N1216" s="12">
        <v>4400</v>
      </c>
      <c r="O1216" s="12"/>
      <c r="P1216" s="12">
        <v>900</v>
      </c>
      <c r="Q1216" s="12">
        <v>9239</v>
      </c>
      <c r="R1216" s="12">
        <v>9383.08</v>
      </c>
      <c r="S1216" s="12">
        <v>7323</v>
      </c>
      <c r="T1216" s="12"/>
      <c r="U1216" s="12"/>
      <c r="V1216" s="12"/>
      <c r="W1216" s="12"/>
      <c r="X1216" s="12"/>
      <c r="Y1216" s="12">
        <f t="shared" si="21"/>
        <v>33899.08</v>
      </c>
    </row>
    <row r="1217" spans="1:25" ht="15">
      <c r="A1217">
        <v>2013</v>
      </c>
      <c r="B1217" t="s">
        <v>574</v>
      </c>
      <c r="C1217" t="s">
        <v>92</v>
      </c>
      <c r="D1217" t="s">
        <v>92</v>
      </c>
      <c r="E1217" t="s">
        <v>22</v>
      </c>
      <c r="F1217" t="s">
        <v>157</v>
      </c>
      <c r="G1217" t="s">
        <v>442</v>
      </c>
      <c r="H1217" t="s">
        <v>22</v>
      </c>
      <c r="I1217" t="s">
        <v>145</v>
      </c>
      <c r="J1217" t="s">
        <v>146</v>
      </c>
      <c r="K1217"/>
      <c r="L1217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>
        <v>590039.76</v>
      </c>
      <c r="W1217" s="12"/>
      <c r="X1217" s="12">
        <v>747600</v>
      </c>
      <c r="Y1217" s="12">
        <f t="shared" si="21"/>
        <v>1337639.76</v>
      </c>
    </row>
    <row r="1218" spans="1:25" ht="15">
      <c r="A1218">
        <v>2013</v>
      </c>
      <c r="B1218" t="s">
        <v>573</v>
      </c>
      <c r="C1218" t="s">
        <v>92</v>
      </c>
      <c r="D1218" t="s">
        <v>92</v>
      </c>
      <c r="E1218" t="s">
        <v>22</v>
      </c>
      <c r="F1218" t="s">
        <v>157</v>
      </c>
      <c r="G1218" t="s">
        <v>439</v>
      </c>
      <c r="H1218" t="s">
        <v>22</v>
      </c>
      <c r="I1218" t="s">
        <v>23</v>
      </c>
      <c r="J1218" t="s">
        <v>263</v>
      </c>
      <c r="K1218"/>
      <c r="L1218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>
        <v>1000</v>
      </c>
      <c r="W1218" s="12"/>
      <c r="X1218" s="12"/>
      <c r="Y1218" s="12">
        <f t="shared" si="21"/>
        <v>1000</v>
      </c>
    </row>
    <row r="1219" spans="1:25" ht="15">
      <c r="A1219">
        <v>2013</v>
      </c>
      <c r="B1219" t="s">
        <v>574</v>
      </c>
      <c r="C1219" t="s">
        <v>92</v>
      </c>
      <c r="D1219" t="s">
        <v>92</v>
      </c>
      <c r="E1219" t="s">
        <v>22</v>
      </c>
      <c r="F1219" t="s">
        <v>168</v>
      </c>
      <c r="G1219" t="s">
        <v>442</v>
      </c>
      <c r="H1219" t="s">
        <v>22</v>
      </c>
      <c r="I1219" t="s">
        <v>145</v>
      </c>
      <c r="J1219" t="s">
        <v>146</v>
      </c>
      <c r="K1219"/>
      <c r="L1219"/>
      <c r="M1219" s="12"/>
      <c r="N1219" s="12">
        <v>160</v>
      </c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>
        <f t="shared" si="21"/>
        <v>160</v>
      </c>
    </row>
    <row r="1220" spans="1:25" ht="15">
      <c r="A1220">
        <v>2013</v>
      </c>
      <c r="B1220" t="s">
        <v>574</v>
      </c>
      <c r="C1220" t="s">
        <v>92</v>
      </c>
      <c r="D1220" t="s">
        <v>92</v>
      </c>
      <c r="E1220" t="s">
        <v>22</v>
      </c>
      <c r="F1220" t="s">
        <v>130</v>
      </c>
      <c r="G1220" t="s">
        <v>442</v>
      </c>
      <c r="H1220" t="s">
        <v>22</v>
      </c>
      <c r="I1220" t="s">
        <v>145</v>
      </c>
      <c r="J1220" t="s">
        <v>146</v>
      </c>
      <c r="K1220"/>
      <c r="L1220"/>
      <c r="M1220" s="12"/>
      <c r="N1220" s="12"/>
      <c r="O1220" s="12"/>
      <c r="P1220" s="12">
        <v>21310</v>
      </c>
      <c r="Q1220" s="12">
        <v>36015</v>
      </c>
      <c r="R1220" s="12">
        <v>56080</v>
      </c>
      <c r="S1220" s="12">
        <v>73525</v>
      </c>
      <c r="T1220" s="12">
        <v>55505</v>
      </c>
      <c r="U1220" s="12"/>
      <c r="V1220" s="12"/>
      <c r="W1220" s="12"/>
      <c r="X1220" s="12"/>
      <c r="Y1220" s="12">
        <f t="shared" si="21"/>
        <v>242435</v>
      </c>
    </row>
    <row r="1221" spans="1:25" ht="15">
      <c r="A1221">
        <v>2013</v>
      </c>
      <c r="B1221" t="s">
        <v>574</v>
      </c>
      <c r="C1221" t="s">
        <v>92</v>
      </c>
      <c r="D1221" t="s">
        <v>92</v>
      </c>
      <c r="E1221" t="s">
        <v>22</v>
      </c>
      <c r="F1221" t="s">
        <v>130</v>
      </c>
      <c r="G1221" t="s">
        <v>442</v>
      </c>
      <c r="H1221" t="s">
        <v>22</v>
      </c>
      <c r="I1221" t="s">
        <v>132</v>
      </c>
      <c r="J1221" t="s">
        <v>133</v>
      </c>
      <c r="K1221"/>
      <c r="L1221"/>
      <c r="M1221" s="12">
        <v>40412.74</v>
      </c>
      <c r="N1221" s="12">
        <v>39753.22</v>
      </c>
      <c r="O1221" s="12">
        <v>41136.29</v>
      </c>
      <c r="P1221" s="12">
        <v>37106.949999999997</v>
      </c>
      <c r="Q1221" s="12">
        <v>44582.65</v>
      </c>
      <c r="R1221" s="12">
        <v>47488.99</v>
      </c>
      <c r="S1221" s="12">
        <v>55470.43</v>
      </c>
      <c r="T1221" s="12">
        <v>37476.57</v>
      </c>
      <c r="U1221" s="12">
        <v>38707.89</v>
      </c>
      <c r="V1221" s="12"/>
      <c r="W1221" s="12"/>
      <c r="X1221" s="12"/>
      <c r="Y1221" s="12">
        <f t="shared" si="21"/>
        <v>382135.73000000004</v>
      </c>
    </row>
    <row r="1222" spans="1:25" ht="15">
      <c r="A1222">
        <v>2013</v>
      </c>
      <c r="B1222" t="s">
        <v>573</v>
      </c>
      <c r="C1222" t="s">
        <v>92</v>
      </c>
      <c r="D1222" t="s">
        <v>92</v>
      </c>
      <c r="E1222" t="s">
        <v>22</v>
      </c>
      <c r="F1222" t="s">
        <v>130</v>
      </c>
      <c r="G1222" t="s">
        <v>442</v>
      </c>
      <c r="H1222" t="s">
        <v>22</v>
      </c>
      <c r="I1222" t="s">
        <v>23</v>
      </c>
      <c r="J1222" t="s">
        <v>263</v>
      </c>
      <c r="K1222"/>
      <c r="L1222"/>
      <c r="M1222" s="12"/>
      <c r="N1222" s="12"/>
      <c r="O1222" s="12"/>
      <c r="P1222" s="12">
        <v>2500</v>
      </c>
      <c r="Q1222" s="12">
        <v>3800</v>
      </c>
      <c r="R1222" s="12">
        <v>2000</v>
      </c>
      <c r="S1222" s="12">
        <v>400</v>
      </c>
      <c r="T1222" s="12">
        <v>3740</v>
      </c>
      <c r="U1222" s="12"/>
      <c r="V1222" s="12"/>
      <c r="W1222" s="12"/>
      <c r="X1222" s="12"/>
      <c r="Y1222" s="12">
        <f t="shared" si="21"/>
        <v>12440</v>
      </c>
    </row>
    <row r="1223" spans="1:25" ht="15">
      <c r="A1223">
        <v>2013</v>
      </c>
      <c r="B1223" t="s">
        <v>574</v>
      </c>
      <c r="C1223" t="s">
        <v>92</v>
      </c>
      <c r="D1223" t="s">
        <v>92</v>
      </c>
      <c r="E1223" t="s">
        <v>22</v>
      </c>
      <c r="F1223" t="s">
        <v>130</v>
      </c>
      <c r="G1223" t="s">
        <v>442</v>
      </c>
      <c r="H1223" t="s">
        <v>22</v>
      </c>
      <c r="I1223" t="s">
        <v>132</v>
      </c>
      <c r="J1223" t="s">
        <v>133</v>
      </c>
      <c r="K1223"/>
      <c r="L1223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>
        <v>42519.03</v>
      </c>
      <c r="W1223" s="12">
        <v>30000</v>
      </c>
      <c r="X1223" s="12">
        <v>25000</v>
      </c>
      <c r="Y1223" s="12">
        <f t="shared" si="21"/>
        <v>97519.03</v>
      </c>
    </row>
    <row r="1224" spans="1:25" ht="15">
      <c r="A1224">
        <v>2013</v>
      </c>
      <c r="B1224" t="s">
        <v>574</v>
      </c>
      <c r="C1224" t="s">
        <v>92</v>
      </c>
      <c r="D1224" t="s">
        <v>92</v>
      </c>
      <c r="E1224" t="s">
        <v>22</v>
      </c>
      <c r="F1224" t="s">
        <v>235</v>
      </c>
      <c r="G1224" t="s">
        <v>442</v>
      </c>
      <c r="H1224" t="s">
        <v>22</v>
      </c>
      <c r="I1224" t="s">
        <v>145</v>
      </c>
      <c r="J1224" t="s">
        <v>146</v>
      </c>
      <c r="K1224"/>
      <c r="L1224"/>
      <c r="M1224" s="12"/>
      <c r="N1224" s="12"/>
      <c r="O1224" s="12"/>
      <c r="P1224" s="12"/>
      <c r="Q1224" s="12"/>
      <c r="R1224" s="12"/>
      <c r="S1224" s="12"/>
      <c r="T1224" s="12"/>
      <c r="U1224" s="12">
        <v>283500</v>
      </c>
      <c r="V1224" s="12"/>
      <c r="W1224" s="12">
        <v>231420</v>
      </c>
      <c r="X1224" s="12"/>
      <c r="Y1224" s="12">
        <f t="shared" si="21"/>
        <v>514920</v>
      </c>
    </row>
    <row r="1225" spans="1:25" ht="15">
      <c r="A1225">
        <v>2013</v>
      </c>
      <c r="B1225" t="s">
        <v>574</v>
      </c>
      <c r="C1225" t="s">
        <v>92</v>
      </c>
      <c r="D1225" t="s">
        <v>92</v>
      </c>
      <c r="E1225" t="s">
        <v>22</v>
      </c>
      <c r="F1225" t="s">
        <v>235</v>
      </c>
      <c r="G1225" t="s">
        <v>442</v>
      </c>
      <c r="H1225" t="s">
        <v>22</v>
      </c>
      <c r="I1225" t="s">
        <v>145</v>
      </c>
      <c r="J1225" t="s">
        <v>146</v>
      </c>
      <c r="K1225"/>
      <c r="L1225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>
        <v>43330</v>
      </c>
      <c r="X1225" s="12"/>
      <c r="Y1225" s="12">
        <f t="shared" si="21"/>
        <v>43330</v>
      </c>
    </row>
    <row r="1226" spans="1:25" ht="15">
      <c r="A1226">
        <v>2013</v>
      </c>
      <c r="B1226" t="s">
        <v>573</v>
      </c>
      <c r="C1226" t="s">
        <v>92</v>
      </c>
      <c r="D1226" t="s">
        <v>92</v>
      </c>
      <c r="E1226" t="s">
        <v>22</v>
      </c>
      <c r="F1226" t="s">
        <v>235</v>
      </c>
      <c r="G1226" t="s">
        <v>442</v>
      </c>
      <c r="H1226" t="s">
        <v>22</v>
      </c>
      <c r="I1226" t="s">
        <v>145</v>
      </c>
      <c r="J1226" t="s">
        <v>262</v>
      </c>
      <c r="K1226"/>
      <c r="L1226"/>
      <c r="M1226" s="12"/>
      <c r="N1226" s="12"/>
      <c r="O1226" s="12"/>
      <c r="P1226" s="12"/>
      <c r="Q1226" s="12"/>
      <c r="R1226" s="12"/>
      <c r="S1226" s="12"/>
      <c r="T1226" s="12"/>
      <c r="U1226" s="12">
        <v>32539.73</v>
      </c>
      <c r="V1226" s="12"/>
      <c r="W1226" s="12"/>
      <c r="X1226" s="12"/>
      <c r="Y1226" s="12">
        <f t="shared" si="21"/>
        <v>32539.73</v>
      </c>
    </row>
    <row r="1227" spans="1:25" ht="15">
      <c r="A1227">
        <v>2013</v>
      </c>
      <c r="B1227" t="s">
        <v>574</v>
      </c>
      <c r="C1227" t="s">
        <v>92</v>
      </c>
      <c r="D1227" t="s">
        <v>92</v>
      </c>
      <c r="E1227" t="s">
        <v>22</v>
      </c>
      <c r="F1227" t="s">
        <v>235</v>
      </c>
      <c r="G1227" t="s">
        <v>245</v>
      </c>
      <c r="H1227" t="s">
        <v>22</v>
      </c>
      <c r="I1227" t="s">
        <v>145</v>
      </c>
      <c r="J1227" t="s">
        <v>146</v>
      </c>
      <c r="K1227"/>
      <c r="L1227"/>
      <c r="M1227" s="12">
        <v>309300</v>
      </c>
      <c r="N1227" s="12">
        <v>458950</v>
      </c>
      <c r="O1227" s="12">
        <v>630200</v>
      </c>
      <c r="P1227" s="12">
        <v>1039898</v>
      </c>
      <c r="Q1227" s="12">
        <v>1720200</v>
      </c>
      <c r="R1227" s="12">
        <v>1790650</v>
      </c>
      <c r="S1227" s="12">
        <v>1786800</v>
      </c>
      <c r="T1227" s="12">
        <v>1135530</v>
      </c>
      <c r="U1227" s="12"/>
      <c r="V1227" s="12">
        <v>370250</v>
      </c>
      <c r="W1227" s="12">
        <v>204101</v>
      </c>
      <c r="X1227" s="12">
        <v>470850</v>
      </c>
      <c r="Y1227" s="12">
        <f t="shared" si="21"/>
        <v>9916729</v>
      </c>
    </row>
    <row r="1228" spans="1:25" ht="15">
      <c r="A1228">
        <v>2013</v>
      </c>
      <c r="B1228" t="s">
        <v>573</v>
      </c>
      <c r="C1228" t="s">
        <v>92</v>
      </c>
      <c r="D1228" t="s">
        <v>92</v>
      </c>
      <c r="E1228" t="s">
        <v>22</v>
      </c>
      <c r="F1228" t="s">
        <v>235</v>
      </c>
      <c r="G1228" t="s">
        <v>439</v>
      </c>
      <c r="H1228" t="s">
        <v>22</v>
      </c>
      <c r="I1228" t="s">
        <v>145</v>
      </c>
      <c r="J1228" t="s">
        <v>262</v>
      </c>
      <c r="K1228"/>
      <c r="L1228"/>
      <c r="M1228" s="12"/>
      <c r="N1228" s="12">
        <v>2000</v>
      </c>
      <c r="O1228" s="12">
        <v>11185</v>
      </c>
      <c r="P1228" s="12">
        <v>64900</v>
      </c>
      <c r="Q1228" s="12">
        <v>121500</v>
      </c>
      <c r="R1228" s="12">
        <v>85145</v>
      </c>
      <c r="S1228" s="12">
        <v>83591.17</v>
      </c>
      <c r="T1228" s="12">
        <v>90150.1</v>
      </c>
      <c r="U1228" s="12"/>
      <c r="V1228" s="12">
        <v>31995.65</v>
      </c>
      <c r="W1228" s="12">
        <v>20000</v>
      </c>
      <c r="X1228" s="12">
        <v>20000</v>
      </c>
      <c r="Y1228" s="12">
        <f t="shared" si="21"/>
        <v>530466.92000000004</v>
      </c>
    </row>
    <row r="1229" spans="1:25" ht="15">
      <c r="A1229">
        <v>2013</v>
      </c>
      <c r="B1229" t="s">
        <v>573</v>
      </c>
      <c r="C1229" t="s">
        <v>92</v>
      </c>
      <c r="D1229" t="s">
        <v>92</v>
      </c>
      <c r="E1229" t="s">
        <v>22</v>
      </c>
      <c r="F1229" t="s">
        <v>235</v>
      </c>
      <c r="G1229" t="s">
        <v>439</v>
      </c>
      <c r="H1229" t="s">
        <v>22</v>
      </c>
      <c r="I1229" t="s">
        <v>132</v>
      </c>
      <c r="J1229" t="s">
        <v>336</v>
      </c>
      <c r="K1229"/>
      <c r="L1229"/>
      <c r="M1229" s="12">
        <v>18286.8</v>
      </c>
      <c r="N1229" s="12">
        <v>24453.39</v>
      </c>
      <c r="O1229" s="12">
        <v>30595.57</v>
      </c>
      <c r="P1229" s="12">
        <v>31319.43</v>
      </c>
      <c r="Q1229" s="12">
        <v>25649.05</v>
      </c>
      <c r="R1229" s="12">
        <v>30372.720000000001</v>
      </c>
      <c r="S1229" s="12">
        <v>29485.08</v>
      </c>
      <c r="T1229" s="12">
        <v>36224.589999999997</v>
      </c>
      <c r="U1229" s="12">
        <v>21001.98</v>
      </c>
      <c r="V1229" s="12"/>
      <c r="W1229" s="12"/>
      <c r="X1229" s="12"/>
      <c r="Y1229" s="12">
        <f t="shared" si="21"/>
        <v>247388.61000000004</v>
      </c>
    </row>
    <row r="1230" spans="1:25" ht="15">
      <c r="A1230">
        <v>2013</v>
      </c>
      <c r="B1230" t="s">
        <v>573</v>
      </c>
      <c r="C1230" t="s">
        <v>92</v>
      </c>
      <c r="D1230" t="s">
        <v>92</v>
      </c>
      <c r="E1230" t="s">
        <v>22</v>
      </c>
      <c r="F1230" t="s">
        <v>235</v>
      </c>
      <c r="G1230" t="s">
        <v>439</v>
      </c>
      <c r="H1230" t="s">
        <v>22</v>
      </c>
      <c r="I1230" t="s">
        <v>23</v>
      </c>
      <c r="J1230" t="s">
        <v>263</v>
      </c>
      <c r="K1230"/>
      <c r="L1230"/>
      <c r="M1230" s="12">
        <v>150</v>
      </c>
      <c r="N1230" s="12">
        <v>57050</v>
      </c>
      <c r="O1230" s="12">
        <v>59300</v>
      </c>
      <c r="P1230" s="12">
        <v>134881.5</v>
      </c>
      <c r="Q1230" s="12">
        <v>138725</v>
      </c>
      <c r="R1230" s="12">
        <v>98249.57</v>
      </c>
      <c r="S1230" s="12">
        <v>67247.12</v>
      </c>
      <c r="T1230" s="12">
        <v>43543.45</v>
      </c>
      <c r="U1230" s="12">
        <v>32626</v>
      </c>
      <c r="V1230" s="12">
        <v>36908.400000000001</v>
      </c>
      <c r="W1230" s="12">
        <v>5000</v>
      </c>
      <c r="X1230" s="12">
        <v>5000</v>
      </c>
      <c r="Y1230" s="12">
        <f t="shared" si="21"/>
        <v>678681.03999999992</v>
      </c>
    </row>
    <row r="1231" spans="1:25" ht="15">
      <c r="A1231">
        <v>2013</v>
      </c>
      <c r="B1231" t="s">
        <v>574</v>
      </c>
      <c r="C1231" t="s">
        <v>92</v>
      </c>
      <c r="D1231" t="s">
        <v>92</v>
      </c>
      <c r="E1231" t="s">
        <v>22</v>
      </c>
      <c r="F1231" t="s">
        <v>93</v>
      </c>
      <c r="G1231" t="s">
        <v>442</v>
      </c>
      <c r="H1231" t="s">
        <v>22</v>
      </c>
      <c r="I1231" t="s">
        <v>145</v>
      </c>
      <c r="J1231" t="s">
        <v>146</v>
      </c>
      <c r="K1231"/>
      <c r="L1231"/>
      <c r="M1231" s="12"/>
      <c r="N1231" s="12"/>
      <c r="O1231" s="12"/>
      <c r="P1231" s="12"/>
      <c r="Q1231" s="12">
        <v>7260</v>
      </c>
      <c r="R1231" s="12"/>
      <c r="S1231" s="12"/>
      <c r="T1231" s="12"/>
      <c r="U1231" s="12"/>
      <c r="V1231" s="12"/>
      <c r="W1231" s="12"/>
      <c r="X1231" s="12"/>
      <c r="Y1231" s="12">
        <f t="shared" si="21"/>
        <v>7260</v>
      </c>
    </row>
    <row r="1232" spans="1:25" ht="15">
      <c r="A1232">
        <v>2013</v>
      </c>
      <c r="B1232" t="s">
        <v>573</v>
      </c>
      <c r="C1232" t="s">
        <v>92</v>
      </c>
      <c r="D1232" t="s">
        <v>92</v>
      </c>
      <c r="E1232" t="s">
        <v>22</v>
      </c>
      <c r="F1232" t="s">
        <v>93</v>
      </c>
      <c r="G1232" t="s">
        <v>439</v>
      </c>
      <c r="H1232" t="s">
        <v>22</v>
      </c>
      <c r="I1232" t="s">
        <v>132</v>
      </c>
      <c r="J1232" t="s">
        <v>336</v>
      </c>
      <c r="K1232"/>
      <c r="L1232"/>
      <c r="M1232" s="12">
        <v>16765.43</v>
      </c>
      <c r="N1232" s="12">
        <v>14901.740000000002</v>
      </c>
      <c r="O1232" s="12">
        <v>13477.08</v>
      </c>
      <c r="P1232" s="12">
        <v>18459.650000000001</v>
      </c>
      <c r="Q1232" s="12">
        <v>17664.060000000001</v>
      </c>
      <c r="R1232" s="12">
        <v>16064.12</v>
      </c>
      <c r="S1232" s="12">
        <v>18651.25</v>
      </c>
      <c r="T1232" s="12">
        <v>17322.8</v>
      </c>
      <c r="U1232" s="12">
        <v>17186.099999999999</v>
      </c>
      <c r="V1232" s="12">
        <v>34681.54</v>
      </c>
      <c r="W1232" s="12">
        <v>60000</v>
      </c>
      <c r="X1232" s="12">
        <v>88761</v>
      </c>
      <c r="Y1232" s="12">
        <f t="shared" si="21"/>
        <v>333934.77</v>
      </c>
    </row>
    <row r="1233" spans="1:25" ht="15">
      <c r="A1233">
        <v>2013</v>
      </c>
      <c r="B1233" t="s">
        <v>574</v>
      </c>
      <c r="C1233" t="s">
        <v>92</v>
      </c>
      <c r="D1233" t="s">
        <v>92</v>
      </c>
      <c r="E1233" t="s">
        <v>22</v>
      </c>
      <c r="F1233" t="s">
        <v>93</v>
      </c>
      <c r="G1233" t="s">
        <v>442</v>
      </c>
      <c r="H1233" t="s">
        <v>22</v>
      </c>
      <c r="I1233" t="s">
        <v>132</v>
      </c>
      <c r="J1233" t="s">
        <v>133</v>
      </c>
      <c r="K1233"/>
      <c r="L1233"/>
      <c r="M1233" s="12"/>
      <c r="N1233" s="12"/>
      <c r="O1233" s="12"/>
      <c r="P1233" s="12"/>
      <c r="Q1233" s="12"/>
      <c r="R1233" s="12"/>
      <c r="S1233" s="12"/>
      <c r="T1233" s="12"/>
      <c r="U1233" s="12">
        <v>600</v>
      </c>
      <c r="V1233" s="12"/>
      <c r="W1233" s="12"/>
      <c r="X1233" s="12"/>
      <c r="Y1233" s="12">
        <f t="shared" si="21"/>
        <v>600</v>
      </c>
    </row>
    <row r="1234" spans="1:25" ht="15">
      <c r="A1234">
        <v>2013</v>
      </c>
      <c r="B1234" t="s">
        <v>573</v>
      </c>
      <c r="C1234" t="s">
        <v>92</v>
      </c>
      <c r="D1234" t="s">
        <v>92</v>
      </c>
      <c r="E1234" t="s">
        <v>22</v>
      </c>
      <c r="F1234" t="s">
        <v>93</v>
      </c>
      <c r="G1234" t="s">
        <v>439</v>
      </c>
      <c r="H1234" t="s">
        <v>22</v>
      </c>
      <c r="I1234" t="s">
        <v>132</v>
      </c>
      <c r="J1234" t="s">
        <v>592</v>
      </c>
      <c r="K1234"/>
      <c r="L1234"/>
      <c r="M1234" s="12">
        <v>18177.5</v>
      </c>
      <c r="N1234" s="12">
        <v>19114.53</v>
      </c>
      <c r="O1234" s="12">
        <v>21431.45</v>
      </c>
      <c r="P1234" s="12">
        <v>43974.09</v>
      </c>
      <c r="Q1234" s="12">
        <v>69727.94</v>
      </c>
      <c r="R1234" s="12">
        <v>70363.39</v>
      </c>
      <c r="S1234" s="12">
        <v>48666.02</v>
      </c>
      <c r="T1234" s="12">
        <v>40361.78</v>
      </c>
      <c r="U1234" s="12">
        <v>40826.53</v>
      </c>
      <c r="V1234" s="12">
        <v>37798.51</v>
      </c>
      <c r="W1234" s="12"/>
      <c r="X1234" s="12"/>
      <c r="Y1234" s="12">
        <f t="shared" si="21"/>
        <v>410441.74000000011</v>
      </c>
    </row>
    <row r="1235" spans="1:25" ht="15">
      <c r="A1235">
        <v>2013</v>
      </c>
      <c r="B1235" t="s">
        <v>573</v>
      </c>
      <c r="C1235" t="s">
        <v>92</v>
      </c>
      <c r="D1235" t="s">
        <v>92</v>
      </c>
      <c r="E1235" t="s">
        <v>22</v>
      </c>
      <c r="F1235" t="s">
        <v>208</v>
      </c>
      <c r="G1235" t="s">
        <v>439</v>
      </c>
      <c r="H1235" t="s">
        <v>22</v>
      </c>
      <c r="I1235" t="s">
        <v>23</v>
      </c>
      <c r="J1235" t="s">
        <v>263</v>
      </c>
      <c r="K1235"/>
      <c r="L1235"/>
      <c r="M1235" s="12"/>
      <c r="N1235" s="12"/>
      <c r="O1235" s="12"/>
      <c r="P1235" s="12"/>
      <c r="Q1235" s="12">
        <v>18087</v>
      </c>
      <c r="R1235" s="12"/>
      <c r="S1235" s="12"/>
      <c r="T1235" s="12"/>
      <c r="U1235" s="12"/>
      <c r="V1235" s="12"/>
      <c r="W1235" s="12"/>
      <c r="X1235" s="12"/>
      <c r="Y1235" s="12">
        <f t="shared" si="21"/>
        <v>18087</v>
      </c>
    </row>
    <row r="1236" spans="1:25" ht="15">
      <c r="A1236">
        <v>2013</v>
      </c>
      <c r="B1236" t="s">
        <v>573</v>
      </c>
      <c r="C1236" t="s">
        <v>92</v>
      </c>
      <c r="D1236" t="s">
        <v>92</v>
      </c>
      <c r="E1236" t="s">
        <v>149</v>
      </c>
      <c r="F1236" t="s">
        <v>157</v>
      </c>
      <c r="G1236" t="s">
        <v>442</v>
      </c>
      <c r="H1236" t="s">
        <v>149</v>
      </c>
      <c r="I1236" t="s">
        <v>149</v>
      </c>
      <c r="J1236" t="s">
        <v>150</v>
      </c>
      <c r="K1236"/>
      <c r="L1236"/>
      <c r="M1236" s="12"/>
      <c r="N1236" s="12">
        <v>2707.0717185100689</v>
      </c>
      <c r="O1236" s="12">
        <v>5505.6113805204241</v>
      </c>
      <c r="P1236" s="12"/>
      <c r="Q1236" s="12"/>
      <c r="R1236" s="12">
        <v>6898.9240299029716</v>
      </c>
      <c r="S1236" s="12">
        <v>9429.371701570697</v>
      </c>
      <c r="T1236" s="12"/>
      <c r="U1236" s="12"/>
      <c r="V1236" s="12"/>
      <c r="W1236" s="12"/>
      <c r="X1236" s="12"/>
      <c r="Y1236" s="12">
        <f t="shared" si="21"/>
        <v>24540.978830504162</v>
      </c>
    </row>
    <row r="1237" spans="1:25" ht="15">
      <c r="A1237">
        <v>2013</v>
      </c>
      <c r="B1237" t="s">
        <v>573</v>
      </c>
      <c r="C1237" t="s">
        <v>92</v>
      </c>
      <c r="D1237" t="s">
        <v>92</v>
      </c>
      <c r="E1237" t="s">
        <v>149</v>
      </c>
      <c r="F1237" t="s">
        <v>157</v>
      </c>
      <c r="G1237" t="s">
        <v>439</v>
      </c>
      <c r="H1237" t="s">
        <v>149</v>
      </c>
      <c r="I1237" t="s">
        <v>149</v>
      </c>
      <c r="J1237" t="s">
        <v>150</v>
      </c>
      <c r="K1237"/>
      <c r="L1237"/>
      <c r="M1237" s="12">
        <v>4133.4039562237767</v>
      </c>
      <c r="N1237" s="12"/>
      <c r="O1237" s="12"/>
      <c r="P1237" s="12">
        <v>5944.613370389563</v>
      </c>
      <c r="Q1237" s="12">
        <v>5580.8781848163708</v>
      </c>
      <c r="R1237" s="12"/>
      <c r="S1237" s="12"/>
      <c r="T1237" s="12">
        <v>5924.6200178349427</v>
      </c>
      <c r="U1237" s="12">
        <v>4111.2020129500743</v>
      </c>
      <c r="V1237" s="12">
        <v>5304.9824996033349</v>
      </c>
      <c r="W1237" s="12">
        <v>4704.76</v>
      </c>
      <c r="X1237" s="12">
        <v>5216.7299999999996</v>
      </c>
      <c r="Y1237" s="12">
        <f t="shared" si="21"/>
        <v>40921.190041818059</v>
      </c>
    </row>
    <row r="1238" spans="1:25" ht="15">
      <c r="A1238">
        <v>2013</v>
      </c>
      <c r="B1238" t="s">
        <v>573</v>
      </c>
      <c r="C1238" t="s">
        <v>92</v>
      </c>
      <c r="D1238" t="s">
        <v>92</v>
      </c>
      <c r="E1238" t="s">
        <v>149</v>
      </c>
      <c r="F1238" t="s">
        <v>155</v>
      </c>
      <c r="G1238" t="s">
        <v>439</v>
      </c>
      <c r="H1238" t="s">
        <v>149</v>
      </c>
      <c r="I1238" t="s">
        <v>149</v>
      </c>
      <c r="J1238" t="s">
        <v>150</v>
      </c>
      <c r="K1238"/>
      <c r="L1238"/>
      <c r="M1238" s="12"/>
      <c r="N1238" s="12">
        <v>513.33077655420527</v>
      </c>
      <c r="O1238" s="12">
        <v>941.7330678539978</v>
      </c>
      <c r="P1238" s="12">
        <v>1016.8242179806155</v>
      </c>
      <c r="Q1238" s="12">
        <v>869.29633509150335</v>
      </c>
      <c r="R1238" s="12">
        <v>847.40355840142877</v>
      </c>
      <c r="S1238" s="12">
        <v>4180.6183484183084</v>
      </c>
      <c r="T1238" s="12">
        <v>847.13106214959259</v>
      </c>
      <c r="U1238" s="12">
        <v>779.74387220508822</v>
      </c>
      <c r="V1238" s="12">
        <v>907.41556186462572</v>
      </c>
      <c r="W1238" s="12">
        <v>892.32</v>
      </c>
      <c r="X1238" s="12">
        <v>892.32</v>
      </c>
      <c r="Y1238" s="12">
        <f t="shared" ref="Y1238:Y1301" si="22">SUM(M1238:X1238)</f>
        <v>12688.136800519365</v>
      </c>
    </row>
    <row r="1239" spans="1:25" ht="15">
      <c r="A1239">
        <v>2013</v>
      </c>
      <c r="B1239" t="s">
        <v>573</v>
      </c>
      <c r="C1239" t="s">
        <v>92</v>
      </c>
      <c r="D1239" t="s">
        <v>92</v>
      </c>
      <c r="E1239" t="s">
        <v>149</v>
      </c>
      <c r="F1239" t="s">
        <v>130</v>
      </c>
      <c r="G1239" t="s">
        <v>442</v>
      </c>
      <c r="H1239" t="s">
        <v>149</v>
      </c>
      <c r="I1239" t="s">
        <v>149</v>
      </c>
      <c r="J1239" t="s">
        <v>150</v>
      </c>
      <c r="K1239"/>
      <c r="L1239"/>
      <c r="M1239" s="12">
        <v>4905.7335950540783</v>
      </c>
      <c r="N1239" s="12">
        <v>3811.9989505549952</v>
      </c>
      <c r="O1239" s="12">
        <v>7531.511054463107</v>
      </c>
      <c r="P1239" s="12">
        <v>8132.0525949229032</v>
      </c>
      <c r="Q1239" s="12">
        <v>6453.4380831167637</v>
      </c>
      <c r="R1239" s="12">
        <v>6290.9115968846245</v>
      </c>
      <c r="S1239" s="12">
        <v>8128.3356873794964</v>
      </c>
      <c r="T1239" s="12">
        <v>6311.4833715936384</v>
      </c>
      <c r="U1239" s="12"/>
      <c r="V1239" s="12"/>
      <c r="W1239" s="12"/>
      <c r="X1239" s="12"/>
      <c r="Y1239" s="12">
        <f t="shared" si="22"/>
        <v>51565.464933969612</v>
      </c>
    </row>
    <row r="1240" spans="1:25" ht="15">
      <c r="A1240">
        <v>2013</v>
      </c>
      <c r="B1240" t="s">
        <v>573</v>
      </c>
      <c r="C1240" t="s">
        <v>92</v>
      </c>
      <c r="D1240" t="s">
        <v>92</v>
      </c>
      <c r="E1240" t="s">
        <v>149</v>
      </c>
      <c r="F1240" t="s">
        <v>130</v>
      </c>
      <c r="G1240" t="s">
        <v>439</v>
      </c>
      <c r="H1240" t="s">
        <v>149</v>
      </c>
      <c r="I1240" t="s">
        <v>149</v>
      </c>
      <c r="J1240" t="s">
        <v>150</v>
      </c>
      <c r="K1240"/>
      <c r="L1240"/>
      <c r="M1240" s="12"/>
      <c r="N1240" s="12"/>
      <c r="O1240" s="12"/>
      <c r="P1240" s="12"/>
      <c r="Q1240" s="12"/>
      <c r="R1240" s="12"/>
      <c r="S1240" s="12"/>
      <c r="T1240" s="12"/>
      <c r="U1240" s="12">
        <v>5809.4204113311125</v>
      </c>
      <c r="V1240" s="12">
        <v>13496.891257250294</v>
      </c>
      <c r="W1240" s="12">
        <v>6624.36</v>
      </c>
      <c r="X1240" s="12">
        <v>6624.36</v>
      </c>
      <c r="Y1240" s="12">
        <f t="shared" si="22"/>
        <v>32555.031668581407</v>
      </c>
    </row>
    <row r="1241" spans="1:25" ht="15">
      <c r="A1241">
        <v>2013</v>
      </c>
      <c r="B1241" t="s">
        <v>573</v>
      </c>
      <c r="C1241" t="s">
        <v>92</v>
      </c>
      <c r="D1241" t="s">
        <v>92</v>
      </c>
      <c r="E1241" t="s">
        <v>149</v>
      </c>
      <c r="F1241" t="s">
        <v>235</v>
      </c>
      <c r="G1241" t="s">
        <v>439</v>
      </c>
      <c r="H1241" t="s">
        <v>149</v>
      </c>
      <c r="I1241" t="s">
        <v>149</v>
      </c>
      <c r="J1241" t="s">
        <v>150</v>
      </c>
      <c r="K1241"/>
      <c r="L1241"/>
      <c r="M1241" s="12">
        <v>18639.4193515066</v>
      </c>
      <c r="N1241" s="12">
        <v>14484.905432588954</v>
      </c>
      <c r="O1241" s="12">
        <v>30072.283366950869</v>
      </c>
      <c r="P1241" s="12">
        <v>37567.844270529371</v>
      </c>
      <c r="Q1241" s="12">
        <v>32117.24186360999</v>
      </c>
      <c r="R1241" s="12">
        <v>33989.000413810078</v>
      </c>
      <c r="S1241" s="12">
        <v>35134.738591150213</v>
      </c>
      <c r="T1241" s="12">
        <v>32283.80857942814</v>
      </c>
      <c r="U1241" s="12">
        <v>27596.433462780729</v>
      </c>
      <c r="V1241" s="12">
        <v>26272.706861587994</v>
      </c>
      <c r="W1241" s="12">
        <v>25835.64</v>
      </c>
      <c r="X1241" s="12">
        <v>25835.64</v>
      </c>
      <c r="Y1241" s="12">
        <f t="shared" si="22"/>
        <v>339829.66219394293</v>
      </c>
    </row>
    <row r="1242" spans="1:25" ht="15">
      <c r="A1242">
        <v>2013</v>
      </c>
      <c r="B1242" t="s">
        <v>573</v>
      </c>
      <c r="C1242" t="s">
        <v>92</v>
      </c>
      <c r="D1242" t="s">
        <v>92</v>
      </c>
      <c r="E1242" t="s">
        <v>149</v>
      </c>
      <c r="F1242" t="s">
        <v>93</v>
      </c>
      <c r="G1242" t="s">
        <v>442</v>
      </c>
      <c r="H1242" t="s">
        <v>149</v>
      </c>
      <c r="I1242" t="s">
        <v>149</v>
      </c>
      <c r="J1242" t="s">
        <v>150</v>
      </c>
      <c r="K1242"/>
      <c r="L1242"/>
      <c r="M1242" s="12"/>
      <c r="N1242" s="12">
        <v>6814.8688968104243</v>
      </c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>
        <f t="shared" si="22"/>
        <v>6814.8688968104243</v>
      </c>
    </row>
    <row r="1243" spans="1:25" ht="15">
      <c r="A1243">
        <v>2013</v>
      </c>
      <c r="B1243" t="s">
        <v>573</v>
      </c>
      <c r="C1243" t="s">
        <v>92</v>
      </c>
      <c r="D1243" t="s">
        <v>92</v>
      </c>
      <c r="E1243" t="s">
        <v>149</v>
      </c>
      <c r="F1243" t="s">
        <v>93</v>
      </c>
      <c r="G1243" t="s">
        <v>439</v>
      </c>
      <c r="H1243" t="s">
        <v>149</v>
      </c>
      <c r="I1243" t="s">
        <v>149</v>
      </c>
      <c r="J1243" t="s">
        <v>150</v>
      </c>
      <c r="K1243"/>
      <c r="L1243"/>
      <c r="M1243" s="12">
        <v>8769.0332371819914</v>
      </c>
      <c r="N1243" s="12"/>
      <c r="O1243" s="12">
        <v>13003.76200119872</v>
      </c>
      <c r="P1243" s="12">
        <v>16874.197441576842</v>
      </c>
      <c r="Q1243" s="12">
        <v>14591.137815473314</v>
      </c>
      <c r="R1243" s="12">
        <v>15216.540571304406</v>
      </c>
      <c r="S1243" s="12">
        <v>9283.4289159415894</v>
      </c>
      <c r="T1243" s="12">
        <v>13226.540030105474</v>
      </c>
      <c r="U1243" s="12">
        <v>10149.664322191888</v>
      </c>
      <c r="V1243" s="12">
        <v>11206.580155193713</v>
      </c>
      <c r="W1243" s="12">
        <v>11615.03</v>
      </c>
      <c r="X1243" s="12">
        <v>11615.03</v>
      </c>
      <c r="Y1243" s="12">
        <f t="shared" si="22"/>
        <v>135550.94449016795</v>
      </c>
    </row>
    <row r="1244" spans="1:25" ht="15">
      <c r="A1244">
        <v>2013</v>
      </c>
      <c r="B1244" t="s">
        <v>573</v>
      </c>
      <c r="C1244" t="s">
        <v>92</v>
      </c>
      <c r="D1244" t="s">
        <v>92</v>
      </c>
      <c r="E1244" t="s">
        <v>18</v>
      </c>
      <c r="F1244" t="s">
        <v>130</v>
      </c>
      <c r="G1244" t="s">
        <v>442</v>
      </c>
      <c r="H1244" t="s">
        <v>18</v>
      </c>
      <c r="I1244" t="s">
        <v>18</v>
      </c>
      <c r="J1244" t="s">
        <v>43</v>
      </c>
      <c r="K1244"/>
      <c r="L1244"/>
      <c r="M1244" s="12">
        <v>800</v>
      </c>
      <c r="N1244" s="12">
        <v>800</v>
      </c>
      <c r="O1244" s="12">
        <v>800</v>
      </c>
      <c r="P1244" s="12">
        <v>800</v>
      </c>
      <c r="Q1244" s="12">
        <v>800</v>
      </c>
      <c r="R1244" s="12">
        <v>800</v>
      </c>
      <c r="S1244" s="12">
        <v>800</v>
      </c>
      <c r="T1244" s="12">
        <v>800</v>
      </c>
      <c r="U1244" s="12"/>
      <c r="V1244" s="12"/>
      <c r="W1244" s="12"/>
      <c r="X1244" s="12"/>
      <c r="Y1244" s="12">
        <f t="shared" si="22"/>
        <v>6400</v>
      </c>
    </row>
    <row r="1245" spans="1:25" ht="15">
      <c r="A1245">
        <v>2013</v>
      </c>
      <c r="B1245" t="s">
        <v>573</v>
      </c>
      <c r="C1245" t="s">
        <v>92</v>
      </c>
      <c r="D1245" t="s">
        <v>92</v>
      </c>
      <c r="E1245" t="s">
        <v>18</v>
      </c>
      <c r="F1245" t="s">
        <v>130</v>
      </c>
      <c r="G1245" t="s">
        <v>442</v>
      </c>
      <c r="H1245" t="s">
        <v>18</v>
      </c>
      <c r="I1245" t="s">
        <v>18</v>
      </c>
      <c r="J1245" t="s">
        <v>91</v>
      </c>
      <c r="K1245"/>
      <c r="L1245"/>
      <c r="M1245" s="12"/>
      <c r="N1245" s="12"/>
      <c r="O1245" s="12"/>
      <c r="P1245" s="12">
        <v>649.79999999999995</v>
      </c>
      <c r="Q1245" s="12"/>
      <c r="R1245" s="12"/>
      <c r="S1245" s="12"/>
      <c r="T1245" s="12"/>
      <c r="U1245" s="12"/>
      <c r="V1245" s="12"/>
      <c r="W1245" s="12"/>
      <c r="X1245" s="12"/>
      <c r="Y1245" s="12">
        <f t="shared" si="22"/>
        <v>649.79999999999995</v>
      </c>
    </row>
    <row r="1246" spans="1:25" ht="15">
      <c r="A1246">
        <v>2013</v>
      </c>
      <c r="B1246" t="s">
        <v>573</v>
      </c>
      <c r="C1246" t="s">
        <v>92</v>
      </c>
      <c r="D1246" t="s">
        <v>92</v>
      </c>
      <c r="E1246" t="s">
        <v>18</v>
      </c>
      <c r="F1246" t="s">
        <v>130</v>
      </c>
      <c r="G1246" t="s">
        <v>439</v>
      </c>
      <c r="H1246" t="s">
        <v>18</v>
      </c>
      <c r="I1246" t="s">
        <v>18</v>
      </c>
      <c r="J1246" t="s">
        <v>43</v>
      </c>
      <c r="K1246"/>
      <c r="L1246"/>
      <c r="M1246" s="12"/>
      <c r="N1246" s="12"/>
      <c r="O1246" s="12"/>
      <c r="P1246" s="12"/>
      <c r="Q1246" s="12"/>
      <c r="R1246" s="12"/>
      <c r="S1246" s="12"/>
      <c r="T1246" s="12"/>
      <c r="U1246" s="12">
        <v>800</v>
      </c>
      <c r="V1246" s="12">
        <v>800</v>
      </c>
      <c r="W1246" s="12">
        <v>800</v>
      </c>
      <c r="X1246" s="12">
        <v>800</v>
      </c>
      <c r="Y1246" s="12">
        <f t="shared" si="22"/>
        <v>3200</v>
      </c>
    </row>
    <row r="1247" spans="1:25" ht="15">
      <c r="A1247">
        <v>2013</v>
      </c>
      <c r="B1247" t="s">
        <v>573</v>
      </c>
      <c r="C1247" t="s">
        <v>92</v>
      </c>
      <c r="D1247" t="s">
        <v>92</v>
      </c>
      <c r="E1247" t="s">
        <v>18</v>
      </c>
      <c r="F1247" t="s">
        <v>235</v>
      </c>
      <c r="G1247" t="s">
        <v>439</v>
      </c>
      <c r="H1247" t="s">
        <v>18</v>
      </c>
      <c r="I1247" t="s">
        <v>18</v>
      </c>
      <c r="J1247" t="s">
        <v>43</v>
      </c>
      <c r="K1247"/>
      <c r="L1247"/>
      <c r="M1247" s="12"/>
      <c r="N1247" s="12"/>
      <c r="O1247" s="12"/>
      <c r="P1247" s="12">
        <v>505.03</v>
      </c>
      <c r="Q1247" s="12"/>
      <c r="R1247" s="12"/>
      <c r="S1247" s="12"/>
      <c r="T1247" s="12"/>
      <c r="U1247" s="12"/>
      <c r="V1247" s="12"/>
      <c r="W1247" s="12"/>
      <c r="X1247" s="12"/>
      <c r="Y1247" s="12">
        <f t="shared" si="22"/>
        <v>505.03</v>
      </c>
    </row>
    <row r="1248" spans="1:25" ht="15">
      <c r="A1248">
        <v>2013</v>
      </c>
      <c r="B1248" t="s">
        <v>573</v>
      </c>
      <c r="C1248" t="s">
        <v>92</v>
      </c>
      <c r="D1248" t="s">
        <v>92</v>
      </c>
      <c r="E1248" t="s">
        <v>18</v>
      </c>
      <c r="F1248" t="s">
        <v>235</v>
      </c>
      <c r="G1248" t="s">
        <v>439</v>
      </c>
      <c r="H1248" t="s">
        <v>18</v>
      </c>
      <c r="I1248" t="s">
        <v>18</v>
      </c>
      <c r="J1248" t="s">
        <v>96</v>
      </c>
      <c r="K1248"/>
      <c r="L1248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>
        <v>1392</v>
      </c>
      <c r="W1248" s="12">
        <v>1000</v>
      </c>
      <c r="X1248" s="12"/>
      <c r="Y1248" s="12">
        <f t="shared" si="22"/>
        <v>2392</v>
      </c>
    </row>
    <row r="1249" spans="1:25" ht="15">
      <c r="A1249">
        <v>2013</v>
      </c>
      <c r="B1249" t="s">
        <v>573</v>
      </c>
      <c r="C1249" t="s">
        <v>92</v>
      </c>
      <c r="D1249" t="s">
        <v>92</v>
      </c>
      <c r="E1249" t="s">
        <v>18</v>
      </c>
      <c r="F1249" t="s">
        <v>235</v>
      </c>
      <c r="G1249" t="s">
        <v>439</v>
      </c>
      <c r="H1249" t="s">
        <v>18</v>
      </c>
      <c r="I1249" t="s">
        <v>18</v>
      </c>
      <c r="J1249" t="s">
        <v>91</v>
      </c>
      <c r="K1249"/>
      <c r="L1249"/>
      <c r="M1249" s="12">
        <v>214.5</v>
      </c>
      <c r="N1249" s="12"/>
      <c r="O1249" s="12">
        <v>283.26</v>
      </c>
      <c r="P1249" s="12">
        <v>283.27</v>
      </c>
      <c r="Q1249" s="12">
        <v>185.59</v>
      </c>
      <c r="R1249" s="12">
        <v>400.49</v>
      </c>
      <c r="S1249" s="12">
        <v>2441.11</v>
      </c>
      <c r="T1249" s="12">
        <v>13057.11</v>
      </c>
      <c r="U1249" s="12">
        <v>336.34</v>
      </c>
      <c r="V1249" s="12"/>
      <c r="W1249" s="12">
        <v>4450</v>
      </c>
      <c r="X1249" s="12">
        <v>400</v>
      </c>
      <c r="Y1249" s="12">
        <f t="shared" si="22"/>
        <v>22051.670000000002</v>
      </c>
    </row>
    <row r="1250" spans="1:25" ht="15">
      <c r="A1250">
        <v>2013</v>
      </c>
      <c r="B1250" t="s">
        <v>573</v>
      </c>
      <c r="C1250" t="s">
        <v>92</v>
      </c>
      <c r="D1250" t="s">
        <v>92</v>
      </c>
      <c r="E1250" t="s">
        <v>18</v>
      </c>
      <c r="F1250" t="s">
        <v>93</v>
      </c>
      <c r="G1250" t="s">
        <v>439</v>
      </c>
      <c r="H1250" t="s">
        <v>18</v>
      </c>
      <c r="I1250" t="s">
        <v>18</v>
      </c>
      <c r="J1250" t="s">
        <v>96</v>
      </c>
      <c r="K1250"/>
      <c r="L1250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>
        <v>160</v>
      </c>
      <c r="W1250" s="12"/>
      <c r="X1250" s="12">
        <v>1000</v>
      </c>
      <c r="Y1250" s="12">
        <f t="shared" si="22"/>
        <v>1160</v>
      </c>
    </row>
    <row r="1251" spans="1:25" ht="15">
      <c r="A1251">
        <v>2013</v>
      </c>
      <c r="B1251" t="s">
        <v>573</v>
      </c>
      <c r="C1251" t="s">
        <v>92</v>
      </c>
      <c r="D1251" t="s">
        <v>92</v>
      </c>
      <c r="E1251" t="s">
        <v>18</v>
      </c>
      <c r="F1251" t="s">
        <v>93</v>
      </c>
      <c r="G1251" t="s">
        <v>439</v>
      </c>
      <c r="H1251" t="s">
        <v>18</v>
      </c>
      <c r="I1251" t="s">
        <v>18</v>
      </c>
      <c r="J1251" t="s">
        <v>91</v>
      </c>
      <c r="K1251"/>
      <c r="L1251"/>
      <c r="M1251" s="12"/>
      <c r="N1251" s="12"/>
      <c r="O1251" s="12"/>
      <c r="P1251" s="12"/>
      <c r="Q1251" s="12"/>
      <c r="R1251" s="12">
        <v>2262.4499999999998</v>
      </c>
      <c r="S1251" s="12">
        <v>208.98</v>
      </c>
      <c r="T1251" s="12">
        <v>1332.18</v>
      </c>
      <c r="U1251" s="12"/>
      <c r="V1251" s="12"/>
      <c r="W1251" s="12"/>
      <c r="X1251" s="12"/>
      <c r="Y1251" s="12">
        <f t="shared" si="22"/>
        <v>3803.6099999999997</v>
      </c>
    </row>
    <row r="1252" spans="1:25" ht="15">
      <c r="A1252">
        <v>2013</v>
      </c>
      <c r="B1252" t="s">
        <v>573</v>
      </c>
      <c r="C1252" t="s">
        <v>92</v>
      </c>
      <c r="D1252" t="s">
        <v>92</v>
      </c>
      <c r="E1252" t="s">
        <v>138</v>
      </c>
      <c r="F1252" t="s">
        <v>157</v>
      </c>
      <c r="G1252" t="s">
        <v>442</v>
      </c>
      <c r="H1252" t="s">
        <v>138</v>
      </c>
      <c r="I1252" t="s">
        <v>138</v>
      </c>
      <c r="J1252" t="s">
        <v>593</v>
      </c>
      <c r="K1252"/>
      <c r="L1252"/>
      <c r="M1252" s="12"/>
      <c r="N1252" s="12"/>
      <c r="O1252" s="12"/>
      <c r="P1252" s="12">
        <v>11900</v>
      </c>
      <c r="Q1252" s="12"/>
      <c r="R1252" s="12"/>
      <c r="S1252" s="12"/>
      <c r="T1252" s="12"/>
      <c r="U1252" s="12"/>
      <c r="V1252" s="12"/>
      <c r="W1252" s="12"/>
      <c r="X1252" s="12"/>
      <c r="Y1252" s="12">
        <f t="shared" si="22"/>
        <v>11900</v>
      </c>
    </row>
    <row r="1253" spans="1:25" ht="15">
      <c r="A1253">
        <v>2013</v>
      </c>
      <c r="B1253" t="s">
        <v>573</v>
      </c>
      <c r="C1253" t="s">
        <v>92</v>
      </c>
      <c r="D1253" t="s">
        <v>92</v>
      </c>
      <c r="E1253" t="s">
        <v>138</v>
      </c>
      <c r="F1253" t="s">
        <v>155</v>
      </c>
      <c r="G1253" t="s">
        <v>439</v>
      </c>
      <c r="H1253" t="s">
        <v>138</v>
      </c>
      <c r="I1253" t="s">
        <v>138</v>
      </c>
      <c r="J1253" t="s">
        <v>593</v>
      </c>
      <c r="K1253"/>
      <c r="L1253"/>
      <c r="M1253" s="12"/>
      <c r="N1253" s="12"/>
      <c r="O1253" s="12">
        <v>20710</v>
      </c>
      <c r="P1253" s="12">
        <v>1700</v>
      </c>
      <c r="Q1253" s="12"/>
      <c r="R1253" s="12"/>
      <c r="S1253" s="12"/>
      <c r="T1253" s="12"/>
      <c r="U1253" s="12"/>
      <c r="V1253" s="12"/>
      <c r="W1253" s="12"/>
      <c r="X1253" s="12"/>
      <c r="Y1253" s="12">
        <f t="shared" si="22"/>
        <v>22410</v>
      </c>
    </row>
    <row r="1254" spans="1:25" ht="15">
      <c r="A1254">
        <v>2013</v>
      </c>
      <c r="B1254" t="s">
        <v>573</v>
      </c>
      <c r="C1254" t="s">
        <v>92</v>
      </c>
      <c r="D1254" t="s">
        <v>92</v>
      </c>
      <c r="E1254" t="s">
        <v>138</v>
      </c>
      <c r="F1254" t="s">
        <v>130</v>
      </c>
      <c r="G1254" t="s">
        <v>442</v>
      </c>
      <c r="H1254" t="s">
        <v>138</v>
      </c>
      <c r="I1254" t="s">
        <v>139</v>
      </c>
      <c r="J1254" t="s">
        <v>140</v>
      </c>
      <c r="K1254"/>
      <c r="L1254"/>
      <c r="M1254" s="12">
        <v>13224.28</v>
      </c>
      <c r="N1254" s="12">
        <v>23662.6</v>
      </c>
      <c r="O1254" s="12">
        <v>37474.879999999997</v>
      </c>
      <c r="P1254" s="12">
        <v>37563.980000000003</v>
      </c>
      <c r="Q1254" s="12">
        <v>22798.78</v>
      </c>
      <c r="R1254" s="12">
        <v>27603.49</v>
      </c>
      <c r="S1254" s="12">
        <v>28999.4</v>
      </c>
      <c r="T1254" s="12">
        <v>23088.240000000002</v>
      </c>
      <c r="U1254" s="12"/>
      <c r="V1254" s="12"/>
      <c r="W1254" s="12"/>
      <c r="X1254" s="12"/>
      <c r="Y1254" s="12">
        <f t="shared" si="22"/>
        <v>214415.64999999997</v>
      </c>
    </row>
    <row r="1255" spans="1:25" ht="15">
      <c r="A1255">
        <v>2013</v>
      </c>
      <c r="B1255" t="s">
        <v>573</v>
      </c>
      <c r="C1255" t="s">
        <v>92</v>
      </c>
      <c r="D1255" t="s">
        <v>92</v>
      </c>
      <c r="E1255" t="s">
        <v>138</v>
      </c>
      <c r="F1255" t="s">
        <v>130</v>
      </c>
      <c r="G1255" t="s">
        <v>442</v>
      </c>
      <c r="H1255" t="s">
        <v>138</v>
      </c>
      <c r="I1255" t="s">
        <v>139</v>
      </c>
      <c r="J1255" t="s">
        <v>337</v>
      </c>
      <c r="K1255"/>
      <c r="L1255"/>
      <c r="M1255" s="12">
        <v>742</v>
      </c>
      <c r="N1255" s="12">
        <v>8733.57</v>
      </c>
      <c r="O1255" s="12">
        <v>8258.52</v>
      </c>
      <c r="P1255" s="12">
        <v>1094.06</v>
      </c>
      <c r="Q1255" s="12">
        <v>23359.75</v>
      </c>
      <c r="R1255" s="12">
        <v>2917.08</v>
      </c>
      <c r="S1255" s="12">
        <v>1298.08</v>
      </c>
      <c r="T1255" s="12"/>
      <c r="U1255" s="12"/>
      <c r="V1255" s="12"/>
      <c r="W1255" s="12"/>
      <c r="X1255" s="12"/>
      <c r="Y1255" s="12">
        <f t="shared" si="22"/>
        <v>46403.060000000005</v>
      </c>
    </row>
    <row r="1256" spans="1:25" ht="15">
      <c r="A1256">
        <v>2013</v>
      </c>
      <c r="B1256" t="s">
        <v>573</v>
      </c>
      <c r="C1256" t="s">
        <v>92</v>
      </c>
      <c r="D1256" t="s">
        <v>92</v>
      </c>
      <c r="E1256" t="s">
        <v>138</v>
      </c>
      <c r="F1256" t="s">
        <v>130</v>
      </c>
      <c r="G1256" t="s">
        <v>439</v>
      </c>
      <c r="H1256" t="s">
        <v>138</v>
      </c>
      <c r="I1256" t="s">
        <v>139</v>
      </c>
      <c r="J1256" t="s">
        <v>140</v>
      </c>
      <c r="K1256"/>
      <c r="L1256"/>
      <c r="M1256" s="12"/>
      <c r="N1256" s="12"/>
      <c r="O1256" s="12"/>
      <c r="P1256" s="12"/>
      <c r="Q1256" s="12"/>
      <c r="R1256" s="12"/>
      <c r="S1256" s="12"/>
      <c r="T1256" s="12"/>
      <c r="U1256" s="12">
        <v>15352.2</v>
      </c>
      <c r="V1256" s="12">
        <v>17346.189999999999</v>
      </c>
      <c r="W1256" s="12">
        <v>12000</v>
      </c>
      <c r="X1256" s="12">
        <v>15000</v>
      </c>
      <c r="Y1256" s="12">
        <f t="shared" si="22"/>
        <v>59698.39</v>
      </c>
    </row>
    <row r="1257" spans="1:25" ht="15">
      <c r="A1257">
        <v>2013</v>
      </c>
      <c r="B1257" t="s">
        <v>573</v>
      </c>
      <c r="C1257" t="s">
        <v>92</v>
      </c>
      <c r="D1257" t="s">
        <v>92</v>
      </c>
      <c r="E1257" t="s">
        <v>138</v>
      </c>
      <c r="F1257" t="s">
        <v>93</v>
      </c>
      <c r="G1257" t="s">
        <v>439</v>
      </c>
      <c r="H1257" t="s">
        <v>138</v>
      </c>
      <c r="I1257" t="s">
        <v>138</v>
      </c>
      <c r="J1257" t="s">
        <v>593</v>
      </c>
      <c r="K1257"/>
      <c r="L1257"/>
      <c r="M1257" s="12"/>
      <c r="N1257" s="12"/>
      <c r="O1257" s="12">
        <v>205.45</v>
      </c>
      <c r="P1257" s="12">
        <v>205.45</v>
      </c>
      <c r="Q1257" s="12"/>
      <c r="R1257" s="12">
        <v>523.15</v>
      </c>
      <c r="S1257" s="12">
        <v>3414.36</v>
      </c>
      <c r="T1257" s="12"/>
      <c r="U1257" s="12"/>
      <c r="V1257" s="12"/>
      <c r="W1257" s="12">
        <v>400</v>
      </c>
      <c r="X1257" s="12">
        <v>1600</v>
      </c>
      <c r="Y1257" s="12">
        <f t="shared" si="22"/>
        <v>6348.41</v>
      </c>
    </row>
    <row r="1258" spans="1:25" ht="15">
      <c r="A1258">
        <v>2013</v>
      </c>
      <c r="B1258" t="s">
        <v>573</v>
      </c>
      <c r="C1258" t="s">
        <v>92</v>
      </c>
      <c r="D1258" t="s">
        <v>92</v>
      </c>
      <c r="E1258" t="s">
        <v>138</v>
      </c>
      <c r="F1258" t="s">
        <v>93</v>
      </c>
      <c r="G1258" t="s">
        <v>439</v>
      </c>
      <c r="H1258" t="s">
        <v>138</v>
      </c>
      <c r="I1258" t="s">
        <v>138</v>
      </c>
      <c r="J1258" t="s">
        <v>419</v>
      </c>
      <c r="K1258"/>
      <c r="L1258"/>
      <c r="M1258" s="12"/>
      <c r="N1258" s="12"/>
      <c r="O1258" s="12">
        <v>3647.92</v>
      </c>
      <c r="P1258" s="12">
        <v>968.48</v>
      </c>
      <c r="Q1258" s="12"/>
      <c r="R1258" s="12"/>
      <c r="S1258" s="12">
        <v>1098.56</v>
      </c>
      <c r="T1258" s="12">
        <v>1166.96</v>
      </c>
      <c r="U1258" s="12"/>
      <c r="V1258" s="12">
        <v>1158.44</v>
      </c>
      <c r="W1258" s="12"/>
      <c r="X1258" s="12"/>
      <c r="Y1258" s="12">
        <f t="shared" si="22"/>
        <v>8040.3599999999988</v>
      </c>
    </row>
    <row r="1259" spans="1:25" ht="15">
      <c r="A1259">
        <v>2013</v>
      </c>
      <c r="B1259" t="s">
        <v>573</v>
      </c>
      <c r="C1259" t="s">
        <v>92</v>
      </c>
      <c r="D1259" t="s">
        <v>92</v>
      </c>
      <c r="E1259" t="s">
        <v>138</v>
      </c>
      <c r="F1259" t="s">
        <v>93</v>
      </c>
      <c r="G1259" t="s">
        <v>439</v>
      </c>
      <c r="H1259" t="s">
        <v>138</v>
      </c>
      <c r="I1259" t="s">
        <v>139</v>
      </c>
      <c r="J1259" t="s">
        <v>140</v>
      </c>
      <c r="K1259"/>
      <c r="L1259"/>
      <c r="M1259" s="12">
        <v>21883.05</v>
      </c>
      <c r="N1259" s="12">
        <v>13424.18</v>
      </c>
      <c r="O1259" s="12">
        <v>26828.73</v>
      </c>
      <c r="P1259" s="12">
        <v>39985.35</v>
      </c>
      <c r="Q1259" s="12">
        <v>29750.84</v>
      </c>
      <c r="R1259" s="12">
        <v>36659.93</v>
      </c>
      <c r="S1259" s="12">
        <v>31409.599999999999</v>
      </c>
      <c r="T1259" s="12">
        <v>16813.689999999999</v>
      </c>
      <c r="U1259" s="12">
        <v>14507.62</v>
      </c>
      <c r="V1259" s="12">
        <v>14369.67</v>
      </c>
      <c r="W1259" s="12">
        <v>53240</v>
      </c>
      <c r="X1259" s="12">
        <v>25000</v>
      </c>
      <c r="Y1259" s="12">
        <f t="shared" si="22"/>
        <v>323872.66000000003</v>
      </c>
    </row>
    <row r="1260" spans="1:25" ht="15">
      <c r="A1260">
        <v>2013</v>
      </c>
      <c r="B1260" t="s">
        <v>573</v>
      </c>
      <c r="C1260" t="s">
        <v>92</v>
      </c>
      <c r="D1260" t="s">
        <v>92</v>
      </c>
      <c r="E1260" t="s">
        <v>138</v>
      </c>
      <c r="F1260" t="s">
        <v>93</v>
      </c>
      <c r="G1260" t="s">
        <v>439</v>
      </c>
      <c r="H1260" t="s">
        <v>138</v>
      </c>
      <c r="I1260" t="s">
        <v>139</v>
      </c>
      <c r="J1260" t="s">
        <v>337</v>
      </c>
      <c r="K1260"/>
      <c r="L1260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>
        <v>2000</v>
      </c>
      <c r="X1260" s="12"/>
      <c r="Y1260" s="12">
        <f t="shared" si="22"/>
        <v>2000</v>
      </c>
    </row>
    <row r="1261" spans="1:25" ht="15">
      <c r="A1261">
        <v>2013</v>
      </c>
      <c r="B1261" t="s">
        <v>573</v>
      </c>
      <c r="C1261" t="s">
        <v>92</v>
      </c>
      <c r="D1261" t="s">
        <v>92</v>
      </c>
      <c r="E1261" t="s">
        <v>45</v>
      </c>
      <c r="F1261" t="s">
        <v>157</v>
      </c>
      <c r="G1261" t="s">
        <v>442</v>
      </c>
      <c r="H1261" t="s">
        <v>45</v>
      </c>
      <c r="I1261" t="s">
        <v>45</v>
      </c>
      <c r="J1261" t="s">
        <v>46</v>
      </c>
      <c r="K1261"/>
      <c r="L1261"/>
      <c r="M1261" s="12"/>
      <c r="N1261" s="12"/>
      <c r="O1261" s="12"/>
      <c r="P1261" s="12"/>
      <c r="Q1261" s="12"/>
      <c r="R1261" s="12">
        <v>892.26</v>
      </c>
      <c r="S1261" s="12">
        <v>224.49</v>
      </c>
      <c r="T1261" s="12"/>
      <c r="U1261" s="12"/>
      <c r="V1261" s="12"/>
      <c r="W1261" s="12"/>
      <c r="X1261" s="12"/>
      <c r="Y1261" s="12">
        <f t="shared" si="22"/>
        <v>1116.75</v>
      </c>
    </row>
    <row r="1262" spans="1:25" ht="15">
      <c r="A1262">
        <v>2013</v>
      </c>
      <c r="B1262" t="s">
        <v>573</v>
      </c>
      <c r="C1262" t="s">
        <v>92</v>
      </c>
      <c r="D1262" t="s">
        <v>92</v>
      </c>
      <c r="E1262" t="s">
        <v>45</v>
      </c>
      <c r="F1262" t="s">
        <v>157</v>
      </c>
      <c r="G1262" t="s">
        <v>442</v>
      </c>
      <c r="H1262" t="s">
        <v>45</v>
      </c>
      <c r="I1262" t="s">
        <v>45</v>
      </c>
      <c r="J1262" t="s">
        <v>594</v>
      </c>
      <c r="K1262"/>
      <c r="L1262"/>
      <c r="M1262" s="12"/>
      <c r="N1262" s="12"/>
      <c r="O1262" s="12"/>
      <c r="P1262" s="12"/>
      <c r="Q1262" s="12">
        <v>4680.87</v>
      </c>
      <c r="R1262" s="12"/>
      <c r="S1262" s="12"/>
      <c r="T1262" s="12"/>
      <c r="U1262" s="12"/>
      <c r="V1262" s="12"/>
      <c r="W1262" s="12"/>
      <c r="X1262" s="12"/>
      <c r="Y1262" s="12">
        <f t="shared" si="22"/>
        <v>4680.87</v>
      </c>
    </row>
    <row r="1263" spans="1:25" ht="15">
      <c r="A1263">
        <v>2013</v>
      </c>
      <c r="B1263" t="s">
        <v>573</v>
      </c>
      <c r="C1263" t="s">
        <v>92</v>
      </c>
      <c r="D1263" t="s">
        <v>92</v>
      </c>
      <c r="E1263" t="s">
        <v>45</v>
      </c>
      <c r="F1263" t="s">
        <v>130</v>
      </c>
      <c r="G1263" t="s">
        <v>439</v>
      </c>
      <c r="H1263" t="s">
        <v>45</v>
      </c>
      <c r="I1263" t="s">
        <v>45</v>
      </c>
      <c r="J1263" t="s">
        <v>46</v>
      </c>
      <c r="K1263"/>
      <c r="L1263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>
        <v>200</v>
      </c>
      <c r="X1263" s="12">
        <v>200</v>
      </c>
      <c r="Y1263" s="12">
        <f t="shared" si="22"/>
        <v>400</v>
      </c>
    </row>
    <row r="1264" spans="1:25" ht="15">
      <c r="A1264">
        <v>2013</v>
      </c>
      <c r="B1264" t="s">
        <v>573</v>
      </c>
      <c r="C1264" t="s">
        <v>92</v>
      </c>
      <c r="D1264" t="s">
        <v>92</v>
      </c>
      <c r="E1264" t="s">
        <v>45</v>
      </c>
      <c r="F1264" t="s">
        <v>235</v>
      </c>
      <c r="G1264" t="s">
        <v>439</v>
      </c>
      <c r="H1264" t="s">
        <v>45</v>
      </c>
      <c r="I1264" t="s">
        <v>45</v>
      </c>
      <c r="J1264" t="s">
        <v>46</v>
      </c>
      <c r="K1264"/>
      <c r="L1264"/>
      <c r="M1264" s="12"/>
      <c r="N1264" s="12"/>
      <c r="O1264" s="12">
        <v>9448.7800000000007</v>
      </c>
      <c r="P1264" s="12"/>
      <c r="Q1264" s="12"/>
      <c r="R1264" s="12"/>
      <c r="S1264" s="12">
        <v>11423.02</v>
      </c>
      <c r="T1264" s="12">
        <v>8230.2800000000007</v>
      </c>
      <c r="U1264" s="12"/>
      <c r="V1264" s="12">
        <v>102.57</v>
      </c>
      <c r="W1264" s="12"/>
      <c r="X1264" s="12"/>
      <c r="Y1264" s="12">
        <f t="shared" si="22"/>
        <v>29204.65</v>
      </c>
    </row>
    <row r="1265" spans="1:25" ht="15">
      <c r="A1265">
        <v>2013</v>
      </c>
      <c r="B1265" t="s">
        <v>573</v>
      </c>
      <c r="C1265" t="s">
        <v>92</v>
      </c>
      <c r="D1265" t="s">
        <v>92</v>
      </c>
      <c r="E1265" t="s">
        <v>45</v>
      </c>
      <c r="F1265" t="s">
        <v>235</v>
      </c>
      <c r="G1265" t="s">
        <v>439</v>
      </c>
      <c r="H1265" t="s">
        <v>45</v>
      </c>
      <c r="I1265" t="s">
        <v>45</v>
      </c>
      <c r="J1265" t="s">
        <v>218</v>
      </c>
      <c r="K1265"/>
      <c r="L1265"/>
      <c r="M1265" s="12"/>
      <c r="N1265" s="12"/>
      <c r="O1265" s="12">
        <v>2817.7</v>
      </c>
      <c r="P1265" s="12">
        <v>1933.93</v>
      </c>
      <c r="Q1265" s="12">
        <v>5341.18</v>
      </c>
      <c r="R1265" s="12">
        <v>11639.63</v>
      </c>
      <c r="S1265" s="12">
        <v>11134.4</v>
      </c>
      <c r="T1265" s="12">
        <v>80.52</v>
      </c>
      <c r="U1265" s="12">
        <v>101.27</v>
      </c>
      <c r="V1265" s="12">
        <v>93.18</v>
      </c>
      <c r="W1265" s="12"/>
      <c r="X1265" s="12"/>
      <c r="Y1265" s="12">
        <f t="shared" si="22"/>
        <v>33141.81</v>
      </c>
    </row>
    <row r="1266" spans="1:25" ht="15">
      <c r="A1266">
        <v>2013</v>
      </c>
      <c r="B1266" t="s">
        <v>573</v>
      </c>
      <c r="C1266" t="s">
        <v>92</v>
      </c>
      <c r="D1266" t="s">
        <v>92</v>
      </c>
      <c r="E1266" t="s">
        <v>45</v>
      </c>
      <c r="F1266" t="s">
        <v>235</v>
      </c>
      <c r="G1266" t="s">
        <v>439</v>
      </c>
      <c r="H1266" t="s">
        <v>45</v>
      </c>
      <c r="I1266" t="s">
        <v>45</v>
      </c>
      <c r="J1266" t="s">
        <v>594</v>
      </c>
      <c r="K1266"/>
      <c r="L1266"/>
      <c r="M1266" s="12"/>
      <c r="N1266" s="12"/>
      <c r="O1266" s="12"/>
      <c r="P1266" s="12"/>
      <c r="Q1266" s="12">
        <v>1260.29</v>
      </c>
      <c r="R1266" s="12"/>
      <c r="S1266" s="12"/>
      <c r="T1266" s="12"/>
      <c r="U1266" s="12"/>
      <c r="V1266" s="12"/>
      <c r="W1266" s="12"/>
      <c r="X1266" s="12"/>
      <c r="Y1266" s="12">
        <f t="shared" si="22"/>
        <v>1260.29</v>
      </c>
    </row>
    <row r="1267" spans="1:25" ht="15">
      <c r="A1267">
        <v>2013</v>
      </c>
      <c r="B1267" t="s">
        <v>573</v>
      </c>
      <c r="C1267" t="s">
        <v>92</v>
      </c>
      <c r="D1267" t="s">
        <v>92</v>
      </c>
      <c r="E1267" t="s">
        <v>141</v>
      </c>
      <c r="F1267" t="s">
        <v>157</v>
      </c>
      <c r="G1267" t="s">
        <v>442</v>
      </c>
      <c r="H1267" t="s">
        <v>141</v>
      </c>
      <c r="I1267" t="s">
        <v>141</v>
      </c>
      <c r="J1267" t="s">
        <v>141</v>
      </c>
      <c r="K1267"/>
      <c r="L1267"/>
      <c r="M1267" s="12">
        <v>14892.25</v>
      </c>
      <c r="N1267" s="12">
        <v>15014.41</v>
      </c>
      <c r="O1267" s="12">
        <v>6937.19</v>
      </c>
      <c r="P1267" s="12">
        <v>14966.52</v>
      </c>
      <c r="Q1267" s="12">
        <v>20511.25</v>
      </c>
      <c r="R1267" s="12">
        <v>21546.26</v>
      </c>
      <c r="S1267" s="12">
        <v>15864</v>
      </c>
      <c r="T1267" s="12">
        <v>10322.459999999999</v>
      </c>
      <c r="U1267" s="12"/>
      <c r="V1267" s="12"/>
      <c r="W1267" s="12"/>
      <c r="X1267" s="12"/>
      <c r="Y1267" s="12">
        <f t="shared" si="22"/>
        <v>120054.34</v>
      </c>
    </row>
    <row r="1268" spans="1:25" ht="15">
      <c r="A1268">
        <v>2013</v>
      </c>
      <c r="B1268" t="s">
        <v>573</v>
      </c>
      <c r="C1268" t="s">
        <v>92</v>
      </c>
      <c r="D1268" t="s">
        <v>92</v>
      </c>
      <c r="E1268" t="s">
        <v>141</v>
      </c>
      <c r="F1268" t="s">
        <v>157</v>
      </c>
      <c r="G1268" t="s">
        <v>439</v>
      </c>
      <c r="H1268" t="s">
        <v>141</v>
      </c>
      <c r="I1268" t="s">
        <v>141</v>
      </c>
      <c r="J1268" t="s">
        <v>141</v>
      </c>
      <c r="K1268"/>
      <c r="L1268"/>
      <c r="M1268" s="12"/>
      <c r="N1268" s="12"/>
      <c r="O1268" s="12"/>
      <c r="P1268" s="12"/>
      <c r="Q1268" s="12"/>
      <c r="R1268" s="12"/>
      <c r="S1268" s="12"/>
      <c r="T1268" s="12"/>
      <c r="U1268" s="12">
        <v>18117.36</v>
      </c>
      <c r="V1268" s="12">
        <v>20765.52</v>
      </c>
      <c r="W1268" s="12">
        <v>20000</v>
      </c>
      <c r="X1268" s="12">
        <v>20000</v>
      </c>
      <c r="Y1268" s="12">
        <f t="shared" si="22"/>
        <v>78882.880000000005</v>
      </c>
    </row>
    <row r="1269" spans="1:25" ht="15">
      <c r="A1269">
        <v>2013</v>
      </c>
      <c r="B1269" t="s">
        <v>573</v>
      </c>
      <c r="C1269" t="s">
        <v>92</v>
      </c>
      <c r="D1269" t="s">
        <v>92</v>
      </c>
      <c r="E1269" t="s">
        <v>141</v>
      </c>
      <c r="F1269" t="s">
        <v>130</v>
      </c>
      <c r="G1269" t="s">
        <v>442</v>
      </c>
      <c r="H1269" t="s">
        <v>141</v>
      </c>
      <c r="I1269" t="s">
        <v>141</v>
      </c>
      <c r="J1269" t="s">
        <v>141</v>
      </c>
      <c r="K1269"/>
      <c r="L1269"/>
      <c r="M1269" s="12">
        <v>8986</v>
      </c>
      <c r="N1269" s="12">
        <v>2450</v>
      </c>
      <c r="O1269" s="12">
        <v>2450</v>
      </c>
      <c r="P1269" s="12">
        <v>1466.08</v>
      </c>
      <c r="Q1269" s="12">
        <v>1199.52</v>
      </c>
      <c r="R1269" s="12">
        <v>1266.1600000000001</v>
      </c>
      <c r="S1269" s="12">
        <v>3341.58</v>
      </c>
      <c r="T1269" s="12">
        <v>1399.44</v>
      </c>
      <c r="U1269" s="12"/>
      <c r="V1269" s="12"/>
      <c r="W1269" s="12"/>
      <c r="X1269" s="12"/>
      <c r="Y1269" s="12">
        <f t="shared" si="22"/>
        <v>22558.779999999995</v>
      </c>
    </row>
    <row r="1270" spans="1:25" ht="15">
      <c r="A1270">
        <v>2013</v>
      </c>
      <c r="B1270" t="s">
        <v>573</v>
      </c>
      <c r="C1270" t="s">
        <v>92</v>
      </c>
      <c r="D1270" t="s">
        <v>92</v>
      </c>
      <c r="E1270" t="s">
        <v>141</v>
      </c>
      <c r="F1270" t="s">
        <v>130</v>
      </c>
      <c r="G1270" t="s">
        <v>439</v>
      </c>
      <c r="H1270" t="s">
        <v>141</v>
      </c>
      <c r="I1270" t="s">
        <v>141</v>
      </c>
      <c r="J1270" t="s">
        <v>141</v>
      </c>
      <c r="K1270"/>
      <c r="L1270"/>
      <c r="M1270" s="12"/>
      <c r="N1270" s="12"/>
      <c r="O1270" s="12"/>
      <c r="P1270" s="12"/>
      <c r="Q1270" s="12"/>
      <c r="R1270" s="12"/>
      <c r="S1270" s="12"/>
      <c r="T1270" s="12"/>
      <c r="U1270" s="12">
        <v>3735.44</v>
      </c>
      <c r="V1270" s="12">
        <v>1532.72</v>
      </c>
      <c r="W1270" s="12">
        <v>1762</v>
      </c>
      <c r="X1270" s="12">
        <v>1500</v>
      </c>
      <c r="Y1270" s="12">
        <f t="shared" si="22"/>
        <v>8530.16</v>
      </c>
    </row>
    <row r="1271" spans="1:25" ht="15">
      <c r="A1271">
        <v>2013</v>
      </c>
      <c r="B1271" t="s">
        <v>573</v>
      </c>
      <c r="C1271" t="s">
        <v>92</v>
      </c>
      <c r="D1271" t="s">
        <v>92</v>
      </c>
      <c r="E1271" t="s">
        <v>29</v>
      </c>
      <c r="F1271" t="s">
        <v>157</v>
      </c>
      <c r="G1271" t="s">
        <v>442</v>
      </c>
      <c r="H1271" t="s">
        <v>29</v>
      </c>
      <c r="I1271" t="s">
        <v>29</v>
      </c>
      <c r="J1271" t="s">
        <v>31</v>
      </c>
      <c r="K1271"/>
      <c r="L1271"/>
      <c r="M1271" s="12">
        <v>10361.049999999999</v>
      </c>
      <c r="N1271" s="12">
        <v>8468.91</v>
      </c>
      <c r="O1271" s="12">
        <v>4447.97</v>
      </c>
      <c r="P1271" s="12">
        <v>11639.74</v>
      </c>
      <c r="Q1271" s="12">
        <v>13506.86</v>
      </c>
      <c r="R1271" s="12">
        <v>54544.31</v>
      </c>
      <c r="S1271" s="12">
        <v>23338.240000000002</v>
      </c>
      <c r="T1271" s="12">
        <v>53967.8</v>
      </c>
      <c r="U1271" s="12"/>
      <c r="V1271" s="12"/>
      <c r="W1271" s="12"/>
      <c r="X1271" s="12"/>
      <c r="Y1271" s="12">
        <f t="shared" si="22"/>
        <v>180274.88</v>
      </c>
    </row>
    <row r="1272" spans="1:25" ht="15">
      <c r="A1272">
        <v>2013</v>
      </c>
      <c r="B1272" t="s">
        <v>573</v>
      </c>
      <c r="C1272" t="s">
        <v>92</v>
      </c>
      <c r="D1272" t="s">
        <v>92</v>
      </c>
      <c r="E1272" t="s">
        <v>29</v>
      </c>
      <c r="F1272" t="s">
        <v>157</v>
      </c>
      <c r="G1272" t="s">
        <v>442</v>
      </c>
      <c r="H1272" t="s">
        <v>29</v>
      </c>
      <c r="I1272" t="s">
        <v>29</v>
      </c>
      <c r="J1272" t="s">
        <v>584</v>
      </c>
      <c r="K1272"/>
      <c r="L1272"/>
      <c r="M1272" s="12"/>
      <c r="N1272" s="12">
        <v>2149.0100000000002</v>
      </c>
      <c r="O1272" s="12">
        <v>2351.46</v>
      </c>
      <c r="P1272" s="12"/>
      <c r="Q1272" s="12"/>
      <c r="R1272" s="12"/>
      <c r="S1272" s="12">
        <v>21891.37</v>
      </c>
      <c r="T1272" s="12">
        <v>3585.34</v>
      </c>
      <c r="U1272" s="12"/>
      <c r="V1272" s="12"/>
      <c r="W1272" s="12"/>
      <c r="X1272" s="12"/>
      <c r="Y1272" s="12">
        <f t="shared" si="22"/>
        <v>29977.18</v>
      </c>
    </row>
    <row r="1273" spans="1:25" ht="15">
      <c r="A1273">
        <v>2013</v>
      </c>
      <c r="B1273" t="s">
        <v>573</v>
      </c>
      <c r="C1273" t="s">
        <v>92</v>
      </c>
      <c r="D1273" t="s">
        <v>92</v>
      </c>
      <c r="E1273" t="s">
        <v>29</v>
      </c>
      <c r="F1273" t="s">
        <v>157</v>
      </c>
      <c r="G1273" t="s">
        <v>442</v>
      </c>
      <c r="H1273" t="s">
        <v>29</v>
      </c>
      <c r="I1273" t="s">
        <v>29</v>
      </c>
      <c r="J1273" t="s">
        <v>30</v>
      </c>
      <c r="K1273"/>
      <c r="L1273"/>
      <c r="M1273" s="12"/>
      <c r="N1273" s="12"/>
      <c r="O1273" s="12"/>
      <c r="P1273" s="12"/>
      <c r="Q1273" s="12"/>
      <c r="R1273" s="12"/>
      <c r="S1273" s="12"/>
      <c r="T1273" s="12">
        <v>1998.62</v>
      </c>
      <c r="U1273" s="12"/>
      <c r="V1273" s="12"/>
      <c r="W1273" s="12"/>
      <c r="X1273" s="12"/>
      <c r="Y1273" s="12">
        <f t="shared" si="22"/>
        <v>1998.62</v>
      </c>
    </row>
    <row r="1274" spans="1:25" ht="15">
      <c r="A1274">
        <v>2013</v>
      </c>
      <c r="B1274" t="s">
        <v>573</v>
      </c>
      <c r="C1274" t="s">
        <v>92</v>
      </c>
      <c r="D1274" t="s">
        <v>92</v>
      </c>
      <c r="E1274" t="s">
        <v>29</v>
      </c>
      <c r="F1274" t="s">
        <v>157</v>
      </c>
      <c r="G1274" t="s">
        <v>439</v>
      </c>
      <c r="H1274" t="s">
        <v>29</v>
      </c>
      <c r="I1274" t="s">
        <v>29</v>
      </c>
      <c r="J1274" t="s">
        <v>31</v>
      </c>
      <c r="K1274"/>
      <c r="L1274"/>
      <c r="M1274" s="12"/>
      <c r="N1274" s="12"/>
      <c r="O1274" s="12"/>
      <c r="P1274" s="12"/>
      <c r="Q1274" s="12"/>
      <c r="R1274" s="12"/>
      <c r="S1274" s="12"/>
      <c r="T1274" s="12"/>
      <c r="U1274" s="12">
        <v>32841.5</v>
      </c>
      <c r="V1274" s="12">
        <v>47177.65</v>
      </c>
      <c r="W1274" s="12">
        <v>2000</v>
      </c>
      <c r="X1274" s="12">
        <v>3500</v>
      </c>
      <c r="Y1274" s="12">
        <f t="shared" si="22"/>
        <v>85519.15</v>
      </c>
    </row>
    <row r="1275" spans="1:25" ht="15">
      <c r="A1275">
        <v>2013</v>
      </c>
      <c r="B1275" t="s">
        <v>573</v>
      </c>
      <c r="C1275" t="s">
        <v>92</v>
      </c>
      <c r="D1275" t="s">
        <v>92</v>
      </c>
      <c r="E1275" t="s">
        <v>29</v>
      </c>
      <c r="F1275" t="s">
        <v>155</v>
      </c>
      <c r="G1275" t="s">
        <v>439</v>
      </c>
      <c r="H1275" t="s">
        <v>29</v>
      </c>
      <c r="I1275" t="s">
        <v>29</v>
      </c>
      <c r="J1275" t="s">
        <v>31</v>
      </c>
      <c r="K1275"/>
      <c r="L1275"/>
      <c r="M1275" s="12"/>
      <c r="N1275" s="12"/>
      <c r="O1275" s="12"/>
      <c r="P1275" s="12"/>
      <c r="Q1275" s="12">
        <v>360</v>
      </c>
      <c r="R1275" s="12">
        <v>120</v>
      </c>
      <c r="S1275" s="12">
        <v>272</v>
      </c>
      <c r="T1275" s="12"/>
      <c r="U1275" s="12"/>
      <c r="V1275" s="12"/>
      <c r="W1275" s="12"/>
      <c r="X1275" s="12"/>
      <c r="Y1275" s="12">
        <f t="shared" si="22"/>
        <v>752</v>
      </c>
    </row>
    <row r="1276" spans="1:25" ht="15">
      <c r="A1276">
        <v>2013</v>
      </c>
      <c r="B1276" t="s">
        <v>573</v>
      </c>
      <c r="C1276" t="s">
        <v>92</v>
      </c>
      <c r="D1276" t="s">
        <v>92</v>
      </c>
      <c r="E1276" t="s">
        <v>29</v>
      </c>
      <c r="F1276" t="s">
        <v>155</v>
      </c>
      <c r="G1276" t="s">
        <v>439</v>
      </c>
      <c r="H1276" t="s">
        <v>29</v>
      </c>
      <c r="I1276" t="s">
        <v>29</v>
      </c>
      <c r="J1276" t="s">
        <v>30</v>
      </c>
      <c r="K1276"/>
      <c r="L1276"/>
      <c r="M1276" s="12"/>
      <c r="N1276" s="12"/>
      <c r="O1276" s="12"/>
      <c r="P1276" s="12"/>
      <c r="Q1276" s="12"/>
      <c r="R1276" s="12"/>
      <c r="S1276" s="12">
        <v>20</v>
      </c>
      <c r="T1276" s="12"/>
      <c r="U1276" s="12"/>
      <c r="V1276" s="12"/>
      <c r="W1276" s="12"/>
      <c r="X1276" s="12"/>
      <c r="Y1276" s="12">
        <f t="shared" si="22"/>
        <v>20</v>
      </c>
    </row>
    <row r="1277" spans="1:25" ht="15">
      <c r="A1277">
        <v>2013</v>
      </c>
      <c r="B1277" t="s">
        <v>573</v>
      </c>
      <c r="C1277" t="s">
        <v>92</v>
      </c>
      <c r="D1277" t="s">
        <v>92</v>
      </c>
      <c r="E1277" t="s">
        <v>29</v>
      </c>
      <c r="F1277" t="s">
        <v>130</v>
      </c>
      <c r="G1277" t="s">
        <v>442</v>
      </c>
      <c r="H1277" t="s">
        <v>29</v>
      </c>
      <c r="I1277" t="s">
        <v>29</v>
      </c>
      <c r="J1277" t="s">
        <v>31</v>
      </c>
      <c r="K1277"/>
      <c r="L1277"/>
      <c r="M1277" s="12">
        <v>2024.44</v>
      </c>
      <c r="N1277" s="12">
        <v>2685</v>
      </c>
      <c r="O1277" s="12">
        <v>2743</v>
      </c>
      <c r="P1277" s="12">
        <v>240</v>
      </c>
      <c r="Q1277" s="12">
        <v>587.73</v>
      </c>
      <c r="R1277" s="12">
        <v>612</v>
      </c>
      <c r="S1277" s="12">
        <v>574</v>
      </c>
      <c r="T1277" s="12">
        <v>600.99</v>
      </c>
      <c r="U1277" s="12"/>
      <c r="V1277" s="12"/>
      <c r="W1277" s="12"/>
      <c r="X1277" s="12"/>
      <c r="Y1277" s="12">
        <f t="shared" si="22"/>
        <v>10067.16</v>
      </c>
    </row>
    <row r="1278" spans="1:25" ht="15">
      <c r="A1278">
        <v>2013</v>
      </c>
      <c r="B1278" t="s">
        <v>573</v>
      </c>
      <c r="C1278" t="s">
        <v>92</v>
      </c>
      <c r="D1278" t="s">
        <v>92</v>
      </c>
      <c r="E1278" t="s">
        <v>29</v>
      </c>
      <c r="F1278" t="s">
        <v>130</v>
      </c>
      <c r="G1278" t="s">
        <v>442</v>
      </c>
      <c r="H1278" t="s">
        <v>29</v>
      </c>
      <c r="I1278" t="s">
        <v>29</v>
      </c>
      <c r="J1278" t="s">
        <v>30</v>
      </c>
      <c r="K1278"/>
      <c r="L1278"/>
      <c r="M1278" s="12">
        <v>100</v>
      </c>
      <c r="N1278" s="12">
        <v>258</v>
      </c>
      <c r="O1278" s="12">
        <v>84.66</v>
      </c>
      <c r="P1278" s="12"/>
      <c r="Q1278" s="12">
        <v>497</v>
      </c>
      <c r="R1278" s="12">
        <v>373.6</v>
      </c>
      <c r="S1278" s="12">
        <v>491.06</v>
      </c>
      <c r="T1278" s="12"/>
      <c r="U1278" s="12"/>
      <c r="V1278" s="12"/>
      <c r="W1278" s="12"/>
      <c r="X1278" s="12"/>
      <c r="Y1278" s="12">
        <f t="shared" si="22"/>
        <v>1804.32</v>
      </c>
    </row>
    <row r="1279" spans="1:25" ht="15">
      <c r="A1279">
        <v>2013</v>
      </c>
      <c r="B1279" t="s">
        <v>573</v>
      </c>
      <c r="C1279" t="s">
        <v>92</v>
      </c>
      <c r="D1279" t="s">
        <v>92</v>
      </c>
      <c r="E1279" t="s">
        <v>29</v>
      </c>
      <c r="F1279" t="s">
        <v>130</v>
      </c>
      <c r="G1279" t="s">
        <v>439</v>
      </c>
      <c r="H1279" t="s">
        <v>29</v>
      </c>
      <c r="I1279" t="s">
        <v>29</v>
      </c>
      <c r="J1279" t="s">
        <v>31</v>
      </c>
      <c r="K1279"/>
      <c r="L1279"/>
      <c r="M1279" s="12"/>
      <c r="N1279" s="12"/>
      <c r="O1279" s="12"/>
      <c r="P1279" s="12"/>
      <c r="Q1279" s="12"/>
      <c r="R1279" s="12"/>
      <c r="S1279" s="12"/>
      <c r="T1279" s="12"/>
      <c r="U1279" s="12">
        <v>771</v>
      </c>
      <c r="V1279" s="12">
        <v>2535</v>
      </c>
      <c r="W1279" s="12">
        <v>600</v>
      </c>
      <c r="X1279" s="12">
        <v>1000</v>
      </c>
      <c r="Y1279" s="12">
        <f t="shared" si="22"/>
        <v>4906</v>
      </c>
    </row>
    <row r="1280" spans="1:25" ht="15">
      <c r="A1280">
        <v>2013</v>
      </c>
      <c r="B1280" t="s">
        <v>573</v>
      </c>
      <c r="C1280" t="s">
        <v>92</v>
      </c>
      <c r="D1280" t="s">
        <v>92</v>
      </c>
      <c r="E1280" t="s">
        <v>29</v>
      </c>
      <c r="F1280" t="s">
        <v>130</v>
      </c>
      <c r="G1280" t="s">
        <v>439</v>
      </c>
      <c r="H1280" t="s">
        <v>29</v>
      </c>
      <c r="I1280" t="s">
        <v>29</v>
      </c>
      <c r="J1280" t="s">
        <v>30</v>
      </c>
      <c r="K1280"/>
      <c r="L1280"/>
      <c r="M1280" s="12"/>
      <c r="N1280" s="12"/>
      <c r="O1280" s="12"/>
      <c r="P1280" s="12"/>
      <c r="Q1280" s="12"/>
      <c r="R1280" s="12"/>
      <c r="S1280" s="12"/>
      <c r="T1280" s="12"/>
      <c r="U1280" s="12">
        <v>298.88</v>
      </c>
      <c r="V1280" s="12">
        <v>116</v>
      </c>
      <c r="W1280" s="12">
        <v>150</v>
      </c>
      <c r="X1280" s="12">
        <v>150</v>
      </c>
      <c r="Y1280" s="12">
        <f t="shared" si="22"/>
        <v>714.88</v>
      </c>
    </row>
    <row r="1281" spans="1:25" ht="15">
      <c r="A1281">
        <v>2013</v>
      </c>
      <c r="B1281" t="s">
        <v>573</v>
      </c>
      <c r="C1281" t="s">
        <v>92</v>
      </c>
      <c r="D1281" t="s">
        <v>92</v>
      </c>
      <c r="E1281" t="s">
        <v>29</v>
      </c>
      <c r="F1281" t="s">
        <v>235</v>
      </c>
      <c r="G1281" t="s">
        <v>439</v>
      </c>
      <c r="H1281" t="s">
        <v>29</v>
      </c>
      <c r="I1281" t="s">
        <v>29</v>
      </c>
      <c r="J1281" t="s">
        <v>95</v>
      </c>
      <c r="K1281"/>
      <c r="L1281"/>
      <c r="M1281" s="12">
        <v>85.98</v>
      </c>
      <c r="N1281" s="12"/>
      <c r="O1281" s="12">
        <v>251.21</v>
      </c>
      <c r="P1281" s="12"/>
      <c r="Q1281" s="12"/>
      <c r="R1281" s="12"/>
      <c r="S1281" s="12"/>
      <c r="T1281" s="12"/>
      <c r="U1281" s="12">
        <v>42.64</v>
      </c>
      <c r="V1281" s="12"/>
      <c r="W1281" s="12"/>
      <c r="X1281" s="12"/>
      <c r="Y1281" s="12">
        <f t="shared" si="22"/>
        <v>379.83</v>
      </c>
    </row>
    <row r="1282" spans="1:25" ht="15">
      <c r="A1282">
        <v>2013</v>
      </c>
      <c r="B1282" t="s">
        <v>573</v>
      </c>
      <c r="C1282" t="s">
        <v>92</v>
      </c>
      <c r="D1282" t="s">
        <v>92</v>
      </c>
      <c r="E1282" t="s">
        <v>29</v>
      </c>
      <c r="F1282" t="s">
        <v>235</v>
      </c>
      <c r="G1282" t="s">
        <v>439</v>
      </c>
      <c r="H1282" t="s">
        <v>29</v>
      </c>
      <c r="I1282" t="s">
        <v>29</v>
      </c>
      <c r="J1282" t="s">
        <v>31</v>
      </c>
      <c r="K1282"/>
      <c r="L1282"/>
      <c r="M1282" s="12">
        <v>1311.26</v>
      </c>
      <c r="N1282" s="12"/>
      <c r="O1282" s="12">
        <v>624</v>
      </c>
      <c r="P1282" s="12">
        <v>37</v>
      </c>
      <c r="Q1282" s="12"/>
      <c r="R1282" s="12"/>
      <c r="S1282" s="12"/>
      <c r="T1282" s="12"/>
      <c r="U1282" s="12">
        <v>4512</v>
      </c>
      <c r="V1282" s="12"/>
      <c r="W1282" s="12"/>
      <c r="X1282" s="12"/>
      <c r="Y1282" s="12">
        <f t="shared" si="22"/>
        <v>6484.26</v>
      </c>
    </row>
    <row r="1283" spans="1:25" ht="15">
      <c r="A1283">
        <v>2013</v>
      </c>
      <c r="B1283" t="s">
        <v>573</v>
      </c>
      <c r="C1283" t="s">
        <v>92</v>
      </c>
      <c r="D1283" t="s">
        <v>92</v>
      </c>
      <c r="E1283" t="s">
        <v>29</v>
      </c>
      <c r="F1283" t="s">
        <v>235</v>
      </c>
      <c r="G1283" t="s">
        <v>439</v>
      </c>
      <c r="H1283" t="s">
        <v>29</v>
      </c>
      <c r="I1283" t="s">
        <v>29</v>
      </c>
      <c r="J1283" t="s">
        <v>30</v>
      </c>
      <c r="K1283"/>
      <c r="L1283"/>
      <c r="M1283" s="12">
        <v>6199.75</v>
      </c>
      <c r="N1283" s="12">
        <v>4368.2</v>
      </c>
      <c r="O1283" s="12">
        <v>5947.34</v>
      </c>
      <c r="P1283" s="12">
        <v>4492.13</v>
      </c>
      <c r="Q1283" s="12">
        <v>9076.8700000000008</v>
      </c>
      <c r="R1283" s="12">
        <v>8119.72</v>
      </c>
      <c r="S1283" s="12">
        <v>3472.13</v>
      </c>
      <c r="T1283" s="12">
        <v>7777.77</v>
      </c>
      <c r="U1283" s="12">
        <v>4950.82</v>
      </c>
      <c r="V1283" s="12">
        <v>3469.86</v>
      </c>
      <c r="W1283" s="12">
        <v>4500</v>
      </c>
      <c r="X1283" s="12">
        <v>5000</v>
      </c>
      <c r="Y1283" s="12">
        <f t="shared" si="22"/>
        <v>67374.59</v>
      </c>
    </row>
    <row r="1284" spans="1:25" ht="15">
      <c r="A1284">
        <v>2013</v>
      </c>
      <c r="B1284" t="s">
        <v>573</v>
      </c>
      <c r="C1284" t="s">
        <v>92</v>
      </c>
      <c r="D1284" t="s">
        <v>92</v>
      </c>
      <c r="E1284" t="s">
        <v>29</v>
      </c>
      <c r="F1284" t="s">
        <v>93</v>
      </c>
      <c r="G1284" t="s">
        <v>439</v>
      </c>
      <c r="H1284" t="s">
        <v>29</v>
      </c>
      <c r="I1284" t="s">
        <v>29</v>
      </c>
      <c r="J1284" t="s">
        <v>31</v>
      </c>
      <c r="K1284"/>
      <c r="L1284"/>
      <c r="M1284" s="12">
        <v>3304.32</v>
      </c>
      <c r="N1284" s="12"/>
      <c r="O1284" s="12"/>
      <c r="P1284" s="12"/>
      <c r="Q1284" s="12">
        <v>861.28</v>
      </c>
      <c r="R1284" s="12">
        <v>2050</v>
      </c>
      <c r="S1284" s="12"/>
      <c r="T1284" s="12">
        <v>599.84</v>
      </c>
      <c r="U1284" s="12"/>
      <c r="V1284" s="12"/>
      <c r="W1284" s="12"/>
      <c r="X1284" s="12">
        <v>230</v>
      </c>
      <c r="Y1284" s="12">
        <f t="shared" si="22"/>
        <v>7045.4400000000005</v>
      </c>
    </row>
    <row r="1285" spans="1:25" ht="15">
      <c r="A1285">
        <v>2013</v>
      </c>
      <c r="B1285" t="s">
        <v>573</v>
      </c>
      <c r="C1285" t="s">
        <v>92</v>
      </c>
      <c r="D1285" t="s">
        <v>92</v>
      </c>
      <c r="E1285" t="s">
        <v>29</v>
      </c>
      <c r="F1285" t="s">
        <v>93</v>
      </c>
      <c r="G1285" t="s">
        <v>439</v>
      </c>
      <c r="H1285" t="s">
        <v>29</v>
      </c>
      <c r="I1285" t="s">
        <v>29</v>
      </c>
      <c r="J1285" t="s">
        <v>30</v>
      </c>
      <c r="K1285"/>
      <c r="L1285"/>
      <c r="M1285" s="12"/>
      <c r="N1285" s="12">
        <v>105.42</v>
      </c>
      <c r="O1285" s="12">
        <v>30</v>
      </c>
      <c r="P1285" s="12"/>
      <c r="Q1285" s="12"/>
      <c r="R1285" s="12">
        <v>202.62</v>
      </c>
      <c r="S1285" s="12">
        <v>377.2</v>
      </c>
      <c r="T1285" s="12"/>
      <c r="U1285" s="12">
        <v>282.26</v>
      </c>
      <c r="V1285" s="12">
        <v>151.21</v>
      </c>
      <c r="W1285" s="12">
        <v>150</v>
      </c>
      <c r="X1285" s="12">
        <v>150</v>
      </c>
      <c r="Y1285" s="12">
        <f t="shared" si="22"/>
        <v>1448.71</v>
      </c>
    </row>
    <row r="1286" spans="1:25" ht="15">
      <c r="A1286">
        <v>2013</v>
      </c>
      <c r="B1286" t="s">
        <v>573</v>
      </c>
      <c r="C1286" t="s">
        <v>92</v>
      </c>
      <c r="D1286" t="s">
        <v>92</v>
      </c>
      <c r="E1286" t="s">
        <v>12</v>
      </c>
      <c r="F1286" t="s">
        <v>595</v>
      </c>
      <c r="G1286" t="s">
        <v>442</v>
      </c>
      <c r="H1286" t="s">
        <v>12</v>
      </c>
      <c r="I1286" t="s">
        <v>12</v>
      </c>
      <c r="J1286" t="s">
        <v>13</v>
      </c>
      <c r="K1286"/>
      <c r="L1286"/>
      <c r="M1286" s="12">
        <v>144.69</v>
      </c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>
        <f t="shared" si="22"/>
        <v>144.69</v>
      </c>
    </row>
    <row r="1287" spans="1:25" ht="15">
      <c r="A1287">
        <v>2013</v>
      </c>
      <c r="B1287" t="s">
        <v>573</v>
      </c>
      <c r="C1287" t="s">
        <v>92</v>
      </c>
      <c r="D1287" t="s">
        <v>92</v>
      </c>
      <c r="E1287" t="s">
        <v>12</v>
      </c>
      <c r="F1287" t="s">
        <v>157</v>
      </c>
      <c r="G1287" t="s">
        <v>442</v>
      </c>
      <c r="H1287" t="s">
        <v>12</v>
      </c>
      <c r="I1287" t="s">
        <v>12</v>
      </c>
      <c r="J1287" t="s">
        <v>13</v>
      </c>
      <c r="K1287"/>
      <c r="L1287"/>
      <c r="M1287" s="12">
        <v>1923.64</v>
      </c>
      <c r="N1287" s="12">
        <v>2019.64</v>
      </c>
      <c r="O1287" s="12">
        <v>2118.8200000000002</v>
      </c>
      <c r="P1287" s="12">
        <v>1481.28</v>
      </c>
      <c r="Q1287" s="12">
        <v>2185.44</v>
      </c>
      <c r="R1287" s="12">
        <v>2142.66</v>
      </c>
      <c r="S1287" s="12">
        <v>1916.82</v>
      </c>
      <c r="T1287" s="12">
        <v>2362.96</v>
      </c>
      <c r="U1287" s="12"/>
      <c r="V1287" s="12"/>
      <c r="W1287" s="12"/>
      <c r="X1287" s="12"/>
      <c r="Y1287" s="12">
        <f t="shared" si="22"/>
        <v>16151.259999999998</v>
      </c>
    </row>
    <row r="1288" spans="1:25" ht="15">
      <c r="A1288">
        <v>2013</v>
      </c>
      <c r="B1288" t="s">
        <v>573</v>
      </c>
      <c r="C1288" t="s">
        <v>92</v>
      </c>
      <c r="D1288" t="s">
        <v>92</v>
      </c>
      <c r="E1288" t="s">
        <v>12</v>
      </c>
      <c r="F1288" t="s">
        <v>157</v>
      </c>
      <c r="G1288" t="s">
        <v>439</v>
      </c>
      <c r="H1288" t="s">
        <v>12</v>
      </c>
      <c r="I1288" t="s">
        <v>12</v>
      </c>
      <c r="J1288" t="s">
        <v>134</v>
      </c>
      <c r="K1288"/>
      <c r="L1288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>
        <v>700</v>
      </c>
      <c r="W1288" s="12"/>
      <c r="X1288" s="12"/>
      <c r="Y1288" s="12">
        <f t="shared" si="22"/>
        <v>700</v>
      </c>
    </row>
    <row r="1289" spans="1:25" ht="15">
      <c r="A1289">
        <v>2013</v>
      </c>
      <c r="B1289" t="s">
        <v>573</v>
      </c>
      <c r="C1289" t="s">
        <v>92</v>
      </c>
      <c r="D1289" t="s">
        <v>92</v>
      </c>
      <c r="E1289" t="s">
        <v>12</v>
      </c>
      <c r="F1289" t="s">
        <v>157</v>
      </c>
      <c r="G1289" t="s">
        <v>439</v>
      </c>
      <c r="H1289" t="s">
        <v>12</v>
      </c>
      <c r="I1289" t="s">
        <v>12</v>
      </c>
      <c r="J1289" t="s">
        <v>13</v>
      </c>
      <c r="K1289"/>
      <c r="L1289"/>
      <c r="M1289" s="12"/>
      <c r="N1289" s="12"/>
      <c r="O1289" s="12"/>
      <c r="P1289" s="12"/>
      <c r="Q1289" s="12"/>
      <c r="R1289" s="12"/>
      <c r="S1289" s="12"/>
      <c r="T1289" s="12"/>
      <c r="U1289" s="12">
        <v>2106.98</v>
      </c>
      <c r="V1289" s="12">
        <v>2147.9699999999998</v>
      </c>
      <c r="W1289" s="12">
        <v>1229</v>
      </c>
      <c r="X1289" s="12">
        <v>1394</v>
      </c>
      <c r="Y1289" s="12">
        <f t="shared" si="22"/>
        <v>6877.95</v>
      </c>
    </row>
    <row r="1290" spans="1:25" ht="15">
      <c r="A1290">
        <v>2013</v>
      </c>
      <c r="B1290" t="s">
        <v>573</v>
      </c>
      <c r="C1290" t="s">
        <v>92</v>
      </c>
      <c r="D1290" t="s">
        <v>92</v>
      </c>
      <c r="E1290" t="s">
        <v>12</v>
      </c>
      <c r="F1290" t="s">
        <v>155</v>
      </c>
      <c r="G1290" t="s">
        <v>439</v>
      </c>
      <c r="H1290" t="s">
        <v>12</v>
      </c>
      <c r="I1290" t="s">
        <v>12</v>
      </c>
      <c r="J1290" t="s">
        <v>13</v>
      </c>
      <c r="K1290"/>
      <c r="L1290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>
        <v>490</v>
      </c>
      <c r="X1290" s="12">
        <v>490</v>
      </c>
      <c r="Y1290" s="12">
        <f t="shared" si="22"/>
        <v>980</v>
      </c>
    </row>
    <row r="1291" spans="1:25" ht="15">
      <c r="A1291">
        <v>2013</v>
      </c>
      <c r="B1291" t="s">
        <v>573</v>
      </c>
      <c r="C1291" t="s">
        <v>92</v>
      </c>
      <c r="D1291" t="s">
        <v>92</v>
      </c>
      <c r="E1291" t="s">
        <v>12</v>
      </c>
      <c r="F1291" t="s">
        <v>596</v>
      </c>
      <c r="G1291" t="s">
        <v>442</v>
      </c>
      <c r="H1291" t="s">
        <v>12</v>
      </c>
      <c r="I1291" t="s">
        <v>12</v>
      </c>
      <c r="J1291" t="s">
        <v>13</v>
      </c>
      <c r="K1291"/>
      <c r="L1291"/>
      <c r="M1291" s="12">
        <v>2534.85</v>
      </c>
      <c r="N1291" s="12">
        <v>1232.01</v>
      </c>
      <c r="O1291" s="12">
        <v>1331.15</v>
      </c>
      <c r="P1291" s="12">
        <v>1383.18</v>
      </c>
      <c r="Q1291" s="12">
        <v>1508.77</v>
      </c>
      <c r="R1291" s="12">
        <v>1579.29</v>
      </c>
      <c r="S1291" s="12">
        <v>1358.69</v>
      </c>
      <c r="T1291" s="12"/>
      <c r="U1291" s="12"/>
      <c r="V1291" s="12"/>
      <c r="W1291" s="12"/>
      <c r="X1291" s="12"/>
      <c r="Y1291" s="12">
        <f t="shared" si="22"/>
        <v>10927.94</v>
      </c>
    </row>
    <row r="1292" spans="1:25" ht="15">
      <c r="A1292">
        <v>2013</v>
      </c>
      <c r="B1292" t="s">
        <v>573</v>
      </c>
      <c r="C1292" t="s">
        <v>92</v>
      </c>
      <c r="D1292" t="s">
        <v>92</v>
      </c>
      <c r="E1292" t="s">
        <v>12</v>
      </c>
      <c r="F1292" t="s">
        <v>596</v>
      </c>
      <c r="G1292" t="s">
        <v>439</v>
      </c>
      <c r="H1292" t="s">
        <v>12</v>
      </c>
      <c r="I1292" t="s">
        <v>12</v>
      </c>
      <c r="J1292" t="s">
        <v>13</v>
      </c>
      <c r="K1292"/>
      <c r="L1292"/>
      <c r="M1292" s="12"/>
      <c r="N1292" s="12"/>
      <c r="O1292" s="12"/>
      <c r="P1292" s="12"/>
      <c r="Q1292" s="12"/>
      <c r="R1292" s="12"/>
      <c r="S1292" s="12"/>
      <c r="T1292" s="12">
        <v>1097.8</v>
      </c>
      <c r="U1292" s="12"/>
      <c r="V1292" s="12"/>
      <c r="W1292" s="12"/>
      <c r="X1292" s="12"/>
      <c r="Y1292" s="12">
        <f t="shared" si="22"/>
        <v>1097.8</v>
      </c>
    </row>
    <row r="1293" spans="1:25" ht="15">
      <c r="A1293">
        <v>2013</v>
      </c>
      <c r="B1293" t="s">
        <v>573</v>
      </c>
      <c r="C1293" t="s">
        <v>92</v>
      </c>
      <c r="D1293" t="s">
        <v>92</v>
      </c>
      <c r="E1293" t="s">
        <v>12</v>
      </c>
      <c r="F1293" t="s">
        <v>130</v>
      </c>
      <c r="G1293" t="s">
        <v>442</v>
      </c>
      <c r="H1293" t="s">
        <v>12</v>
      </c>
      <c r="I1293" t="s">
        <v>12</v>
      </c>
      <c r="J1293" t="s">
        <v>134</v>
      </c>
      <c r="K1293"/>
      <c r="L1293"/>
      <c r="M1293" s="12">
        <v>350</v>
      </c>
      <c r="N1293" s="12">
        <v>350</v>
      </c>
      <c r="O1293" s="12">
        <v>350</v>
      </c>
      <c r="P1293" s="12">
        <v>470</v>
      </c>
      <c r="Q1293" s="12">
        <v>415.01</v>
      </c>
      <c r="R1293" s="12">
        <v>418.37</v>
      </c>
      <c r="S1293" s="12">
        <v>350</v>
      </c>
      <c r="T1293" s="12">
        <v>350</v>
      </c>
      <c r="U1293" s="12"/>
      <c r="V1293" s="12"/>
      <c r="W1293" s="12"/>
      <c r="X1293" s="12"/>
      <c r="Y1293" s="12">
        <f t="shared" si="22"/>
        <v>3053.38</v>
      </c>
    </row>
    <row r="1294" spans="1:25" ht="15">
      <c r="A1294">
        <v>2013</v>
      </c>
      <c r="B1294" t="s">
        <v>573</v>
      </c>
      <c r="C1294" t="s">
        <v>92</v>
      </c>
      <c r="D1294" t="s">
        <v>92</v>
      </c>
      <c r="E1294" t="s">
        <v>12</v>
      </c>
      <c r="F1294" t="s">
        <v>130</v>
      </c>
      <c r="G1294" t="s">
        <v>442</v>
      </c>
      <c r="H1294" t="s">
        <v>12</v>
      </c>
      <c r="I1294" t="s">
        <v>12</v>
      </c>
      <c r="J1294" t="s">
        <v>13</v>
      </c>
      <c r="K1294"/>
      <c r="L1294"/>
      <c r="M1294" s="12">
        <v>778.81</v>
      </c>
      <c r="N1294" s="12">
        <v>503.01</v>
      </c>
      <c r="O1294" s="12">
        <v>578.08000000000004</v>
      </c>
      <c r="P1294" s="12">
        <v>571.92999999999995</v>
      </c>
      <c r="Q1294" s="12">
        <v>438.34</v>
      </c>
      <c r="R1294" s="12">
        <v>429.04</v>
      </c>
      <c r="S1294" s="12">
        <v>474.05</v>
      </c>
      <c r="T1294" s="12">
        <v>561.02</v>
      </c>
      <c r="U1294" s="12"/>
      <c r="V1294" s="12"/>
      <c r="W1294" s="12"/>
      <c r="X1294" s="12"/>
      <c r="Y1294" s="12">
        <f t="shared" si="22"/>
        <v>4334.2800000000007</v>
      </c>
    </row>
    <row r="1295" spans="1:25" ht="15">
      <c r="A1295">
        <v>2013</v>
      </c>
      <c r="B1295" t="s">
        <v>573</v>
      </c>
      <c r="C1295" t="s">
        <v>92</v>
      </c>
      <c r="D1295" t="s">
        <v>92</v>
      </c>
      <c r="E1295" t="s">
        <v>12</v>
      </c>
      <c r="F1295" t="s">
        <v>130</v>
      </c>
      <c r="G1295" t="s">
        <v>439</v>
      </c>
      <c r="H1295" t="s">
        <v>12</v>
      </c>
      <c r="I1295" t="s">
        <v>12</v>
      </c>
      <c r="J1295" t="s">
        <v>134</v>
      </c>
      <c r="K1295"/>
      <c r="L1295"/>
      <c r="M1295" s="12"/>
      <c r="N1295" s="12"/>
      <c r="O1295" s="12"/>
      <c r="P1295" s="12"/>
      <c r="Q1295" s="12"/>
      <c r="R1295" s="12"/>
      <c r="S1295" s="12"/>
      <c r="T1295" s="12"/>
      <c r="U1295" s="12">
        <v>350</v>
      </c>
      <c r="V1295" s="12"/>
      <c r="W1295" s="12">
        <v>400</v>
      </c>
      <c r="X1295" s="12">
        <v>400</v>
      </c>
      <c r="Y1295" s="12">
        <f t="shared" si="22"/>
        <v>1150</v>
      </c>
    </row>
    <row r="1296" spans="1:25" ht="15">
      <c r="A1296">
        <v>2013</v>
      </c>
      <c r="B1296" t="s">
        <v>573</v>
      </c>
      <c r="C1296" t="s">
        <v>92</v>
      </c>
      <c r="D1296" t="s">
        <v>92</v>
      </c>
      <c r="E1296" t="s">
        <v>12</v>
      </c>
      <c r="F1296" t="s">
        <v>130</v>
      </c>
      <c r="G1296" t="s">
        <v>439</v>
      </c>
      <c r="H1296" t="s">
        <v>12</v>
      </c>
      <c r="I1296" t="s">
        <v>12</v>
      </c>
      <c r="J1296" t="s">
        <v>13</v>
      </c>
      <c r="K1296"/>
      <c r="L1296"/>
      <c r="M1296" s="12"/>
      <c r="N1296" s="12"/>
      <c r="O1296" s="12"/>
      <c r="P1296" s="12"/>
      <c r="Q1296" s="12"/>
      <c r="R1296" s="12"/>
      <c r="S1296" s="12"/>
      <c r="T1296" s="12"/>
      <c r="U1296" s="12">
        <v>666.41</v>
      </c>
      <c r="V1296" s="12">
        <v>500.56</v>
      </c>
      <c r="W1296" s="12">
        <v>281</v>
      </c>
      <c r="X1296" s="12">
        <v>281</v>
      </c>
      <c r="Y1296" s="12">
        <f t="shared" si="22"/>
        <v>1728.97</v>
      </c>
    </row>
    <row r="1297" spans="1:25" ht="15">
      <c r="A1297">
        <v>2013</v>
      </c>
      <c r="B1297" t="s">
        <v>573</v>
      </c>
      <c r="C1297" t="s">
        <v>92</v>
      </c>
      <c r="D1297" t="s">
        <v>92</v>
      </c>
      <c r="E1297" t="s">
        <v>12</v>
      </c>
      <c r="F1297" t="s">
        <v>597</v>
      </c>
      <c r="G1297" t="s">
        <v>442</v>
      </c>
      <c r="H1297" t="s">
        <v>12</v>
      </c>
      <c r="I1297" t="s">
        <v>12</v>
      </c>
      <c r="J1297" t="s">
        <v>13</v>
      </c>
      <c r="K1297"/>
      <c r="L1297"/>
      <c r="M1297" s="12">
        <v>144.69</v>
      </c>
      <c r="N1297" s="12">
        <v>145.80000000000001</v>
      </c>
      <c r="O1297" s="12">
        <v>151.83000000000001</v>
      </c>
      <c r="P1297" s="12">
        <v>147.19</v>
      </c>
      <c r="Q1297" s="12">
        <v>145.29</v>
      </c>
      <c r="R1297" s="12">
        <v>145.08000000000001</v>
      </c>
      <c r="S1297" s="12">
        <v>145.72999999999999</v>
      </c>
      <c r="T1297" s="12"/>
      <c r="U1297" s="12"/>
      <c r="V1297" s="12"/>
      <c r="W1297" s="12"/>
      <c r="X1297" s="12"/>
      <c r="Y1297" s="12">
        <f t="shared" si="22"/>
        <v>1025.6099999999999</v>
      </c>
    </row>
    <row r="1298" spans="1:25" ht="15">
      <c r="A1298">
        <v>2013</v>
      </c>
      <c r="B1298" t="s">
        <v>573</v>
      </c>
      <c r="C1298" t="s">
        <v>92</v>
      </c>
      <c r="D1298" t="s">
        <v>92</v>
      </c>
      <c r="E1298" t="s">
        <v>12</v>
      </c>
      <c r="F1298" t="s">
        <v>597</v>
      </c>
      <c r="G1298" t="s">
        <v>439</v>
      </c>
      <c r="H1298" t="s">
        <v>12</v>
      </c>
      <c r="I1298" t="s">
        <v>12</v>
      </c>
      <c r="J1298" t="s">
        <v>13</v>
      </c>
      <c r="K1298"/>
      <c r="L1298"/>
      <c r="M1298" s="12"/>
      <c r="N1298" s="12"/>
      <c r="O1298" s="12"/>
      <c r="P1298" s="12"/>
      <c r="Q1298" s="12"/>
      <c r="R1298" s="12"/>
      <c r="S1298" s="12"/>
      <c r="T1298" s="12">
        <v>130.57</v>
      </c>
      <c r="U1298" s="12"/>
      <c r="V1298" s="12"/>
      <c r="W1298" s="12"/>
      <c r="X1298" s="12"/>
      <c r="Y1298" s="12">
        <f t="shared" si="22"/>
        <v>130.57</v>
      </c>
    </row>
    <row r="1299" spans="1:25" ht="15">
      <c r="A1299">
        <v>2013</v>
      </c>
      <c r="B1299" t="s">
        <v>573</v>
      </c>
      <c r="C1299" t="s">
        <v>92</v>
      </c>
      <c r="D1299" t="s">
        <v>32</v>
      </c>
      <c r="E1299" t="s">
        <v>45</v>
      </c>
      <c r="F1299" t="s">
        <v>235</v>
      </c>
      <c r="G1299" t="s">
        <v>439</v>
      </c>
      <c r="H1299" t="s">
        <v>45</v>
      </c>
      <c r="I1299" t="s">
        <v>45</v>
      </c>
      <c r="J1299" t="s">
        <v>46</v>
      </c>
      <c r="K1299"/>
      <c r="L1299"/>
      <c r="M1299" s="12"/>
      <c r="N1299" s="12"/>
      <c r="O1299" s="12"/>
      <c r="P1299" s="12"/>
      <c r="Q1299" s="12"/>
      <c r="R1299" s="12">
        <v>52770.85</v>
      </c>
      <c r="S1299" s="12"/>
      <c r="T1299" s="12"/>
      <c r="U1299" s="12"/>
      <c r="V1299" s="12"/>
      <c r="W1299" s="12"/>
      <c r="X1299" s="12"/>
      <c r="Y1299" s="12">
        <f t="shared" si="22"/>
        <v>52770.85</v>
      </c>
    </row>
    <row r="1300" spans="1:25" ht="15">
      <c r="A1300">
        <v>2013</v>
      </c>
      <c r="B1300" t="s">
        <v>573</v>
      </c>
      <c r="C1300" t="s">
        <v>92</v>
      </c>
      <c r="D1300" t="s">
        <v>54</v>
      </c>
      <c r="E1300" t="s">
        <v>412</v>
      </c>
      <c r="F1300" t="s">
        <v>155</v>
      </c>
      <c r="G1300" t="s">
        <v>439</v>
      </c>
      <c r="H1300" t="s">
        <v>54</v>
      </c>
      <c r="I1300" t="s">
        <v>412</v>
      </c>
      <c r="J1300" t="s">
        <v>427</v>
      </c>
      <c r="K1300"/>
      <c r="L1300"/>
      <c r="M1300" s="12"/>
      <c r="N1300" s="12"/>
      <c r="O1300" s="12"/>
      <c r="P1300" s="12"/>
      <c r="Q1300" s="12"/>
      <c r="R1300" s="12"/>
      <c r="S1300" s="12"/>
      <c r="T1300" s="12"/>
      <c r="U1300" s="12">
        <v>2000</v>
      </c>
      <c r="V1300" s="12"/>
      <c r="W1300" s="12"/>
      <c r="X1300" s="12"/>
      <c r="Y1300" s="12">
        <f t="shared" si="22"/>
        <v>2000</v>
      </c>
    </row>
    <row r="1301" spans="1:25" ht="15">
      <c r="A1301">
        <v>2013</v>
      </c>
      <c r="B1301" t="s">
        <v>573</v>
      </c>
      <c r="C1301" t="s">
        <v>32</v>
      </c>
      <c r="D1301" t="s">
        <v>32</v>
      </c>
      <c r="E1301" t="s">
        <v>25</v>
      </c>
      <c r="F1301" t="s">
        <v>168</v>
      </c>
      <c r="G1301" t="s">
        <v>442</v>
      </c>
      <c r="H1301" t="s">
        <v>25</v>
      </c>
      <c r="I1301" t="s">
        <v>25</v>
      </c>
      <c r="J1301" t="s">
        <v>36</v>
      </c>
      <c r="K1301"/>
      <c r="L1301"/>
      <c r="M1301" s="12">
        <v>4472.16</v>
      </c>
      <c r="N1301" s="12">
        <v>4472.16</v>
      </c>
      <c r="O1301" s="12">
        <v>4472.16</v>
      </c>
      <c r="P1301" s="12">
        <v>4472.16</v>
      </c>
      <c r="Q1301" s="12">
        <v>4472.16</v>
      </c>
      <c r="R1301" s="12"/>
      <c r="S1301" s="12">
        <v>4472.16</v>
      </c>
      <c r="T1301" s="12">
        <v>8944.32</v>
      </c>
      <c r="U1301" s="12">
        <v>4472.16</v>
      </c>
      <c r="V1301" s="12">
        <v>4472.16</v>
      </c>
      <c r="W1301" s="12">
        <v>4557</v>
      </c>
      <c r="X1301" s="12">
        <v>4557</v>
      </c>
      <c r="Y1301" s="12">
        <f t="shared" si="22"/>
        <v>53835.600000000006</v>
      </c>
    </row>
    <row r="1302" spans="1:25" ht="15">
      <c r="A1302">
        <v>2013</v>
      </c>
      <c r="B1302" t="s">
        <v>573</v>
      </c>
      <c r="C1302" t="s">
        <v>32</v>
      </c>
      <c r="D1302" t="s">
        <v>32</v>
      </c>
      <c r="E1302" t="s">
        <v>25</v>
      </c>
      <c r="F1302" t="s">
        <v>168</v>
      </c>
      <c r="G1302" t="s">
        <v>442</v>
      </c>
      <c r="H1302" t="s">
        <v>25</v>
      </c>
      <c r="I1302" t="s">
        <v>25</v>
      </c>
      <c r="J1302" t="s">
        <v>26</v>
      </c>
      <c r="K1302"/>
      <c r="L1302"/>
      <c r="M1302" s="12">
        <v>2222.15</v>
      </c>
      <c r="N1302" s="12">
        <v>2179.6999999999998</v>
      </c>
      <c r="O1302" s="12">
        <v>2206.2800000000002</v>
      </c>
      <c r="P1302" s="12">
        <v>2256.3000000000002</v>
      </c>
      <c r="Q1302" s="12">
        <v>2296.3000000000002</v>
      </c>
      <c r="R1302" s="12">
        <v>111.75</v>
      </c>
      <c r="S1302" s="12">
        <v>2296.3000000000002</v>
      </c>
      <c r="T1302" s="12">
        <v>4458.92</v>
      </c>
      <c r="U1302" s="12">
        <v>2268.48</v>
      </c>
      <c r="V1302" s="12">
        <v>2287.0700000000002</v>
      </c>
      <c r="W1302" s="12">
        <v>2365</v>
      </c>
      <c r="X1302" s="12">
        <v>2365</v>
      </c>
      <c r="Y1302" s="12">
        <f t="shared" ref="Y1302:Y1362" si="23">SUM(M1302:X1302)</f>
        <v>27313.249999999996</v>
      </c>
    </row>
    <row r="1303" spans="1:25" ht="15">
      <c r="A1303">
        <v>2013</v>
      </c>
      <c r="B1303" t="s">
        <v>573</v>
      </c>
      <c r="C1303" t="s">
        <v>32</v>
      </c>
      <c r="D1303" t="s">
        <v>32</v>
      </c>
      <c r="E1303" t="s">
        <v>25</v>
      </c>
      <c r="F1303" t="s">
        <v>59</v>
      </c>
      <c r="G1303" t="s">
        <v>442</v>
      </c>
      <c r="H1303" t="s">
        <v>25</v>
      </c>
      <c r="I1303" t="s">
        <v>25</v>
      </c>
      <c r="J1303" t="s">
        <v>26</v>
      </c>
      <c r="K1303"/>
      <c r="L1303"/>
      <c r="M1303" s="12"/>
      <c r="N1303" s="12">
        <v>1166.42</v>
      </c>
      <c r="O1303" s="12">
        <v>634.74</v>
      </c>
      <c r="P1303" s="12">
        <v>471</v>
      </c>
      <c r="Q1303" s="12">
        <v>632.87</v>
      </c>
      <c r="R1303" s="12">
        <v>615.1</v>
      </c>
      <c r="S1303" s="12">
        <v>471</v>
      </c>
      <c r="T1303" s="12"/>
      <c r="U1303" s="12">
        <v>1697.99</v>
      </c>
      <c r="V1303" s="12">
        <v>1512.47</v>
      </c>
      <c r="W1303" s="12">
        <v>2000</v>
      </c>
      <c r="X1303" s="12">
        <v>2000</v>
      </c>
      <c r="Y1303" s="12">
        <f t="shared" si="23"/>
        <v>11201.59</v>
      </c>
    </row>
    <row r="1304" spans="1:25" ht="15">
      <c r="A1304">
        <v>2013</v>
      </c>
      <c r="B1304" t="s">
        <v>573</v>
      </c>
      <c r="C1304" t="s">
        <v>32</v>
      </c>
      <c r="D1304" t="s">
        <v>32</v>
      </c>
      <c r="E1304" t="s">
        <v>25</v>
      </c>
      <c r="F1304" t="s">
        <v>66</v>
      </c>
      <c r="G1304" t="s">
        <v>442</v>
      </c>
      <c r="H1304" t="s">
        <v>25</v>
      </c>
      <c r="I1304" t="s">
        <v>25</v>
      </c>
      <c r="J1304" t="s">
        <v>36</v>
      </c>
      <c r="K1304"/>
      <c r="L1304"/>
      <c r="M1304" s="12">
        <v>2825</v>
      </c>
      <c r="N1304" s="12">
        <v>2825</v>
      </c>
      <c r="O1304" s="12">
        <v>2825</v>
      </c>
      <c r="P1304" s="12">
        <v>7825</v>
      </c>
      <c r="Q1304" s="12"/>
      <c r="R1304" s="12"/>
      <c r="S1304" s="12"/>
      <c r="T1304" s="12"/>
      <c r="U1304" s="12"/>
      <c r="V1304" s="12"/>
      <c r="W1304" s="12"/>
      <c r="X1304" s="12"/>
      <c r="Y1304" s="12">
        <f t="shared" si="23"/>
        <v>16300</v>
      </c>
    </row>
    <row r="1305" spans="1:25" ht="15">
      <c r="A1305">
        <v>2013</v>
      </c>
      <c r="B1305" t="s">
        <v>573</v>
      </c>
      <c r="C1305" t="s">
        <v>32</v>
      </c>
      <c r="D1305" t="s">
        <v>32</v>
      </c>
      <c r="E1305" t="s">
        <v>25</v>
      </c>
      <c r="F1305" t="s">
        <v>66</v>
      </c>
      <c r="G1305" t="s">
        <v>442</v>
      </c>
      <c r="H1305" t="s">
        <v>25</v>
      </c>
      <c r="I1305" t="s">
        <v>25</v>
      </c>
      <c r="J1305" t="s">
        <v>26</v>
      </c>
      <c r="K1305"/>
      <c r="L1305"/>
      <c r="M1305" s="12"/>
      <c r="N1305" s="12"/>
      <c r="O1305" s="12"/>
      <c r="P1305" s="12"/>
      <c r="Q1305" s="12">
        <v>2825</v>
      </c>
      <c r="R1305" s="12"/>
      <c r="S1305" s="12"/>
      <c r="T1305" s="12"/>
      <c r="U1305" s="12"/>
      <c r="V1305" s="12"/>
      <c r="W1305" s="12"/>
      <c r="X1305" s="12"/>
      <c r="Y1305" s="12">
        <f t="shared" si="23"/>
        <v>2825</v>
      </c>
    </row>
    <row r="1306" spans="1:25" ht="15">
      <c r="A1306">
        <v>2013</v>
      </c>
      <c r="B1306" t="s">
        <v>573</v>
      </c>
      <c r="C1306" t="s">
        <v>32</v>
      </c>
      <c r="D1306" t="s">
        <v>32</v>
      </c>
      <c r="E1306" t="s">
        <v>25</v>
      </c>
      <c r="F1306" t="s">
        <v>130</v>
      </c>
      <c r="G1306" t="s">
        <v>442</v>
      </c>
      <c r="H1306" t="s">
        <v>25</v>
      </c>
      <c r="I1306" t="s">
        <v>25</v>
      </c>
      <c r="J1306" t="s">
        <v>36</v>
      </c>
      <c r="K1306"/>
      <c r="L1306"/>
      <c r="M1306" s="12">
        <v>5000</v>
      </c>
      <c r="N1306" s="12">
        <v>5000</v>
      </c>
      <c r="O1306" s="12">
        <v>5000</v>
      </c>
      <c r="P1306" s="12"/>
      <c r="Q1306" s="12">
        <v>5000</v>
      </c>
      <c r="R1306" s="12">
        <v>5000</v>
      </c>
      <c r="S1306" s="12">
        <v>5000</v>
      </c>
      <c r="T1306" s="12"/>
      <c r="U1306" s="12"/>
      <c r="V1306" s="12"/>
      <c r="W1306" s="12"/>
      <c r="X1306" s="12"/>
      <c r="Y1306" s="12">
        <f t="shared" si="23"/>
        <v>30000</v>
      </c>
    </row>
    <row r="1307" spans="1:25" ht="15">
      <c r="A1307">
        <v>2013</v>
      </c>
      <c r="B1307" t="s">
        <v>573</v>
      </c>
      <c r="C1307" t="s">
        <v>32</v>
      </c>
      <c r="D1307" t="s">
        <v>32</v>
      </c>
      <c r="E1307" t="s">
        <v>25</v>
      </c>
      <c r="F1307" t="s">
        <v>130</v>
      </c>
      <c r="G1307" t="s">
        <v>439</v>
      </c>
      <c r="H1307" t="s">
        <v>25</v>
      </c>
      <c r="I1307" t="s">
        <v>25</v>
      </c>
      <c r="J1307" t="s">
        <v>36</v>
      </c>
      <c r="K1307"/>
      <c r="L1307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>
        <v>5000</v>
      </c>
      <c r="W1307" s="12"/>
      <c r="X1307" s="12"/>
      <c r="Y1307" s="12">
        <f t="shared" si="23"/>
        <v>5000</v>
      </c>
    </row>
    <row r="1308" spans="1:25" ht="15">
      <c r="A1308">
        <v>2013</v>
      </c>
      <c r="B1308" t="s">
        <v>573</v>
      </c>
      <c r="C1308" t="s">
        <v>32</v>
      </c>
      <c r="D1308" t="s">
        <v>32</v>
      </c>
      <c r="E1308" t="s">
        <v>25</v>
      </c>
      <c r="F1308" t="s">
        <v>33</v>
      </c>
      <c r="G1308" t="s">
        <v>442</v>
      </c>
      <c r="H1308" t="s">
        <v>25</v>
      </c>
      <c r="I1308" t="s">
        <v>25</v>
      </c>
      <c r="J1308" t="s">
        <v>36</v>
      </c>
      <c r="K1308"/>
      <c r="L1308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>
        <v>5000</v>
      </c>
      <c r="X1308" s="12">
        <v>5000</v>
      </c>
      <c r="Y1308" s="12">
        <f t="shared" si="23"/>
        <v>10000</v>
      </c>
    </row>
    <row r="1309" spans="1:25" ht="15">
      <c r="A1309">
        <v>2013</v>
      </c>
      <c r="B1309" t="s">
        <v>573</v>
      </c>
      <c r="C1309" t="s">
        <v>32</v>
      </c>
      <c r="D1309" t="s">
        <v>32</v>
      </c>
      <c r="E1309" t="s">
        <v>25</v>
      </c>
      <c r="F1309" t="s">
        <v>151</v>
      </c>
      <c r="G1309" t="s">
        <v>442</v>
      </c>
      <c r="H1309" t="s">
        <v>25</v>
      </c>
      <c r="I1309" t="s">
        <v>25</v>
      </c>
      <c r="J1309" t="s">
        <v>36</v>
      </c>
      <c r="K1309"/>
      <c r="L1309"/>
      <c r="M1309" s="12"/>
      <c r="N1309" s="12"/>
      <c r="O1309" s="12"/>
      <c r="P1309" s="12"/>
      <c r="Q1309" s="12"/>
      <c r="R1309" s="12"/>
      <c r="S1309" s="12"/>
      <c r="T1309" s="12">
        <v>5000</v>
      </c>
      <c r="U1309" s="12">
        <v>5000</v>
      </c>
      <c r="V1309" s="12"/>
      <c r="W1309" s="12"/>
      <c r="X1309" s="12"/>
      <c r="Y1309" s="12">
        <f t="shared" si="23"/>
        <v>10000</v>
      </c>
    </row>
    <row r="1310" spans="1:25" ht="15">
      <c r="A1310">
        <v>2013</v>
      </c>
      <c r="B1310" t="s">
        <v>573</v>
      </c>
      <c r="C1310" t="s">
        <v>32</v>
      </c>
      <c r="D1310" t="s">
        <v>32</v>
      </c>
      <c r="E1310" t="s">
        <v>148</v>
      </c>
      <c r="F1310" t="s">
        <v>245</v>
      </c>
      <c r="G1310" t="s">
        <v>245</v>
      </c>
      <c r="H1310" t="s">
        <v>148</v>
      </c>
      <c r="I1310" t="s">
        <v>148</v>
      </c>
      <c r="J1310" t="s">
        <v>148</v>
      </c>
      <c r="K1310"/>
      <c r="L1310"/>
      <c r="M1310" s="12">
        <v>151158.17000000001</v>
      </c>
      <c r="N1310" s="12">
        <v>137882</v>
      </c>
      <c r="O1310" s="12">
        <v>137917.71</v>
      </c>
      <c r="P1310" s="12">
        <v>176982</v>
      </c>
      <c r="Q1310" s="12">
        <v>184509</v>
      </c>
      <c r="R1310" s="12">
        <v>180448</v>
      </c>
      <c r="S1310" s="12">
        <v>172069.72</v>
      </c>
      <c r="T1310" s="12">
        <v>167796</v>
      </c>
      <c r="U1310" s="12">
        <v>141039</v>
      </c>
      <c r="V1310" s="12">
        <v>165179</v>
      </c>
      <c r="W1310" s="12">
        <v>176680</v>
      </c>
      <c r="X1310" s="12">
        <v>176680</v>
      </c>
      <c r="Y1310" s="12">
        <f t="shared" si="23"/>
        <v>1968340.6</v>
      </c>
    </row>
    <row r="1311" spans="1:25" ht="15">
      <c r="A1311">
        <v>2013</v>
      </c>
      <c r="B1311" t="s">
        <v>573</v>
      </c>
      <c r="C1311" t="s">
        <v>32</v>
      </c>
      <c r="D1311" t="s">
        <v>32</v>
      </c>
      <c r="E1311" t="s">
        <v>148</v>
      </c>
      <c r="F1311" t="s">
        <v>168</v>
      </c>
      <c r="G1311" t="s">
        <v>442</v>
      </c>
      <c r="H1311" t="s">
        <v>148</v>
      </c>
      <c r="I1311" t="s">
        <v>148</v>
      </c>
      <c r="J1311" t="s">
        <v>148</v>
      </c>
      <c r="K1311"/>
      <c r="L1311"/>
      <c r="M1311" s="12">
        <v>47389.45</v>
      </c>
      <c r="N1311" s="12">
        <v>52292.86</v>
      </c>
      <c r="O1311" s="12">
        <v>58098.559999999998</v>
      </c>
      <c r="P1311" s="12">
        <v>64740.7</v>
      </c>
      <c r="Q1311" s="12">
        <v>60921.13</v>
      </c>
      <c r="R1311" s="12">
        <v>70661.179999999993</v>
      </c>
      <c r="S1311" s="12">
        <v>64757.49</v>
      </c>
      <c r="T1311" s="12">
        <v>68082</v>
      </c>
      <c r="U1311" s="12">
        <v>69984</v>
      </c>
      <c r="V1311" s="12">
        <v>67581.8</v>
      </c>
      <c r="W1311" s="12">
        <v>69500</v>
      </c>
      <c r="X1311" s="12">
        <v>69500</v>
      </c>
      <c r="Y1311" s="12">
        <f t="shared" si="23"/>
        <v>763509.17</v>
      </c>
    </row>
    <row r="1312" spans="1:25" ht="15">
      <c r="A1312">
        <v>2013</v>
      </c>
      <c r="B1312" t="s">
        <v>573</v>
      </c>
      <c r="C1312" t="s">
        <v>32</v>
      </c>
      <c r="D1312" t="s">
        <v>32</v>
      </c>
      <c r="E1312" t="s">
        <v>148</v>
      </c>
      <c r="F1312" t="s">
        <v>59</v>
      </c>
      <c r="G1312" t="s">
        <v>442</v>
      </c>
      <c r="H1312" t="s">
        <v>148</v>
      </c>
      <c r="I1312" t="s">
        <v>148</v>
      </c>
      <c r="J1312" t="s">
        <v>148</v>
      </c>
      <c r="K1312"/>
      <c r="L1312"/>
      <c r="M1312" s="12">
        <v>30289.46</v>
      </c>
      <c r="N1312" s="12">
        <v>32919</v>
      </c>
      <c r="O1312" s="12">
        <v>39645</v>
      </c>
      <c r="P1312" s="12">
        <v>46180.53</v>
      </c>
      <c r="Q1312" s="12">
        <v>41993.74</v>
      </c>
      <c r="R1312" s="12">
        <v>51200.26</v>
      </c>
      <c r="S1312" s="12">
        <v>50307.03</v>
      </c>
      <c r="T1312" s="12">
        <v>51782.53</v>
      </c>
      <c r="U1312" s="12">
        <v>48271</v>
      </c>
      <c r="V1312" s="12">
        <v>51932.97</v>
      </c>
      <c r="W1312" s="12">
        <v>54100</v>
      </c>
      <c r="X1312" s="12">
        <v>54100</v>
      </c>
      <c r="Y1312" s="12">
        <f t="shared" si="23"/>
        <v>552721.52</v>
      </c>
    </row>
    <row r="1313" spans="1:25" ht="15">
      <c r="A1313">
        <v>2013</v>
      </c>
      <c r="B1313" t="s">
        <v>573</v>
      </c>
      <c r="C1313" t="s">
        <v>32</v>
      </c>
      <c r="D1313" t="s">
        <v>32</v>
      </c>
      <c r="E1313" t="s">
        <v>148</v>
      </c>
      <c r="F1313" t="s">
        <v>66</v>
      </c>
      <c r="G1313" t="s">
        <v>442</v>
      </c>
      <c r="H1313" t="s">
        <v>148</v>
      </c>
      <c r="I1313" t="s">
        <v>148</v>
      </c>
      <c r="J1313" t="s">
        <v>148</v>
      </c>
      <c r="K1313"/>
      <c r="L1313"/>
      <c r="M1313" s="12">
        <v>147937.54</v>
      </c>
      <c r="N1313" s="12">
        <v>169017.76</v>
      </c>
      <c r="O1313" s="12">
        <v>209212.4</v>
      </c>
      <c r="P1313" s="12">
        <v>214178.54</v>
      </c>
      <c r="Q1313" s="12">
        <v>216272.96</v>
      </c>
      <c r="R1313" s="12">
        <v>229263.02</v>
      </c>
      <c r="S1313" s="12">
        <v>210209.34</v>
      </c>
      <c r="T1313" s="12">
        <v>229702.01</v>
      </c>
      <c r="U1313" s="12">
        <v>239075.91</v>
      </c>
      <c r="V1313" s="12">
        <v>226029.54</v>
      </c>
      <c r="W1313" s="12">
        <v>233110</v>
      </c>
      <c r="X1313" s="12">
        <v>233110</v>
      </c>
      <c r="Y1313" s="12">
        <f t="shared" si="23"/>
        <v>2557119.02</v>
      </c>
    </row>
    <row r="1314" spans="1:25" ht="15">
      <c r="A1314">
        <v>2013</v>
      </c>
      <c r="B1314" t="s">
        <v>573</v>
      </c>
      <c r="C1314" t="s">
        <v>32</v>
      </c>
      <c r="D1314" t="s">
        <v>32</v>
      </c>
      <c r="E1314" t="s">
        <v>148</v>
      </c>
      <c r="F1314" t="s">
        <v>130</v>
      </c>
      <c r="G1314" t="s">
        <v>442</v>
      </c>
      <c r="H1314" t="s">
        <v>148</v>
      </c>
      <c r="I1314" t="s">
        <v>148</v>
      </c>
      <c r="J1314" t="s">
        <v>148</v>
      </c>
      <c r="K1314"/>
      <c r="L1314"/>
      <c r="M1314" s="12">
        <v>38778</v>
      </c>
      <c r="N1314" s="12">
        <v>52877</v>
      </c>
      <c r="O1314" s="12">
        <v>54078.42</v>
      </c>
      <c r="P1314" s="12">
        <v>50825.36</v>
      </c>
      <c r="Q1314" s="12">
        <v>60500</v>
      </c>
      <c r="R1314" s="12">
        <v>61581</v>
      </c>
      <c r="S1314" s="12">
        <v>59860.24</v>
      </c>
      <c r="T1314" s="12">
        <v>58433</v>
      </c>
      <c r="U1314" s="12">
        <v>57908.22</v>
      </c>
      <c r="V1314" s="12"/>
      <c r="W1314" s="12"/>
      <c r="X1314" s="12"/>
      <c r="Y1314" s="12">
        <f t="shared" si="23"/>
        <v>494841.24</v>
      </c>
    </row>
    <row r="1315" spans="1:25" ht="15">
      <c r="A1315">
        <v>2013</v>
      </c>
      <c r="B1315" t="s">
        <v>573</v>
      </c>
      <c r="C1315" t="s">
        <v>32</v>
      </c>
      <c r="D1315" t="s">
        <v>32</v>
      </c>
      <c r="E1315" t="s">
        <v>148</v>
      </c>
      <c r="F1315" t="s">
        <v>130</v>
      </c>
      <c r="G1315" t="s">
        <v>439</v>
      </c>
      <c r="H1315" t="s">
        <v>148</v>
      </c>
      <c r="I1315" t="s">
        <v>148</v>
      </c>
      <c r="J1315" t="s">
        <v>148</v>
      </c>
      <c r="K1315"/>
      <c r="L1315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>
        <v>57761</v>
      </c>
      <c r="W1315" s="12"/>
      <c r="X1315" s="12"/>
      <c r="Y1315" s="12">
        <f t="shared" si="23"/>
        <v>57761</v>
      </c>
    </row>
    <row r="1316" spans="1:25" ht="15">
      <c r="A1316">
        <v>2013</v>
      </c>
      <c r="B1316" t="s">
        <v>573</v>
      </c>
      <c r="C1316" t="s">
        <v>32</v>
      </c>
      <c r="D1316" t="s">
        <v>32</v>
      </c>
      <c r="E1316" t="s">
        <v>148</v>
      </c>
      <c r="F1316" t="s">
        <v>33</v>
      </c>
      <c r="G1316" t="s">
        <v>442</v>
      </c>
      <c r="H1316" t="s">
        <v>148</v>
      </c>
      <c r="I1316" t="s">
        <v>148</v>
      </c>
      <c r="J1316" t="s">
        <v>148</v>
      </c>
      <c r="K1316"/>
      <c r="L1316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>
        <v>61800</v>
      </c>
      <c r="X1316" s="12">
        <v>61800</v>
      </c>
      <c r="Y1316" s="12">
        <f t="shared" si="23"/>
        <v>123600</v>
      </c>
    </row>
    <row r="1317" spans="1:25" ht="15">
      <c r="A1317">
        <v>2013</v>
      </c>
      <c r="B1317" t="s">
        <v>573</v>
      </c>
      <c r="C1317" t="s">
        <v>32</v>
      </c>
      <c r="D1317" t="s">
        <v>32</v>
      </c>
      <c r="E1317" t="s">
        <v>148</v>
      </c>
      <c r="F1317" t="s">
        <v>151</v>
      </c>
      <c r="G1317" t="s">
        <v>442</v>
      </c>
      <c r="H1317" t="s">
        <v>148</v>
      </c>
      <c r="I1317" t="s">
        <v>148</v>
      </c>
      <c r="J1317" t="s">
        <v>148</v>
      </c>
      <c r="K1317"/>
      <c r="L1317"/>
      <c r="M1317" s="12">
        <v>71074</v>
      </c>
      <c r="N1317" s="12">
        <v>84935</v>
      </c>
      <c r="O1317" s="12">
        <v>87300</v>
      </c>
      <c r="P1317" s="12">
        <v>92300</v>
      </c>
      <c r="Q1317" s="12">
        <v>94800</v>
      </c>
      <c r="R1317" s="12">
        <v>94800</v>
      </c>
      <c r="S1317" s="12">
        <v>92300</v>
      </c>
      <c r="T1317" s="12">
        <v>87300</v>
      </c>
      <c r="U1317" s="12">
        <v>81327</v>
      </c>
      <c r="V1317" s="12">
        <v>87550</v>
      </c>
      <c r="W1317" s="12">
        <v>94800</v>
      </c>
      <c r="X1317" s="12">
        <v>94800</v>
      </c>
      <c r="Y1317" s="12">
        <f t="shared" si="23"/>
        <v>1063286</v>
      </c>
    </row>
    <row r="1318" spans="1:25" ht="15">
      <c r="A1318">
        <v>2013</v>
      </c>
      <c r="B1318" t="s">
        <v>573</v>
      </c>
      <c r="C1318" t="s">
        <v>32</v>
      </c>
      <c r="D1318" t="s">
        <v>32</v>
      </c>
      <c r="E1318" t="s">
        <v>148</v>
      </c>
      <c r="F1318" t="s">
        <v>193</v>
      </c>
      <c r="G1318" t="s">
        <v>442</v>
      </c>
      <c r="H1318" t="s">
        <v>148</v>
      </c>
      <c r="I1318" t="s">
        <v>148</v>
      </c>
      <c r="J1318" t="s">
        <v>148</v>
      </c>
      <c r="K1318"/>
      <c r="L1318"/>
      <c r="M1318" s="12">
        <v>36480</v>
      </c>
      <c r="N1318" s="12">
        <v>40311</v>
      </c>
      <c r="O1318" s="12">
        <v>45558</v>
      </c>
      <c r="P1318" s="12">
        <v>45700</v>
      </c>
      <c r="Q1318" s="12">
        <v>46316</v>
      </c>
      <c r="R1318" s="12">
        <v>46082.61</v>
      </c>
      <c r="S1318" s="12">
        <v>46100</v>
      </c>
      <c r="T1318" s="12">
        <v>48899.26</v>
      </c>
      <c r="U1318" s="12">
        <v>43505.14</v>
      </c>
      <c r="V1318" s="12">
        <v>40931.24</v>
      </c>
      <c r="W1318" s="12">
        <v>46100</v>
      </c>
      <c r="X1318" s="12">
        <v>46100</v>
      </c>
      <c r="Y1318" s="12">
        <f t="shared" si="23"/>
        <v>532083.25</v>
      </c>
    </row>
    <row r="1319" spans="1:25" ht="15">
      <c r="A1319">
        <v>2013</v>
      </c>
      <c r="B1319" t="s">
        <v>573</v>
      </c>
      <c r="C1319" t="s">
        <v>32</v>
      </c>
      <c r="D1319" t="s">
        <v>32</v>
      </c>
      <c r="E1319" t="s">
        <v>148</v>
      </c>
      <c r="F1319" t="s">
        <v>8</v>
      </c>
      <c r="G1319" t="s">
        <v>439</v>
      </c>
      <c r="H1319" t="s">
        <v>148</v>
      </c>
      <c r="I1319" t="s">
        <v>148</v>
      </c>
      <c r="J1319" t="s">
        <v>148</v>
      </c>
      <c r="K1319"/>
      <c r="L1319"/>
      <c r="M1319" s="12">
        <v>7333.33</v>
      </c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>
        <f t="shared" si="23"/>
        <v>7333.33</v>
      </c>
    </row>
    <row r="1320" spans="1:25" ht="15">
      <c r="A1320">
        <v>2013</v>
      </c>
      <c r="B1320" t="s">
        <v>573</v>
      </c>
      <c r="C1320" t="s">
        <v>32</v>
      </c>
      <c r="D1320" t="s">
        <v>32</v>
      </c>
      <c r="E1320" t="s">
        <v>148</v>
      </c>
      <c r="F1320" t="s">
        <v>186</v>
      </c>
      <c r="G1320" t="s">
        <v>442</v>
      </c>
      <c r="H1320" t="s">
        <v>148</v>
      </c>
      <c r="I1320" t="s">
        <v>148</v>
      </c>
      <c r="J1320" t="s">
        <v>148</v>
      </c>
      <c r="K1320"/>
      <c r="L1320"/>
      <c r="M1320" s="12">
        <v>22891</v>
      </c>
      <c r="N1320" s="12">
        <v>26957.1</v>
      </c>
      <c r="O1320" s="12">
        <v>36682</v>
      </c>
      <c r="P1320" s="12">
        <v>34052</v>
      </c>
      <c r="Q1320" s="12">
        <v>37300</v>
      </c>
      <c r="R1320" s="12">
        <v>38485.21</v>
      </c>
      <c r="S1320" s="12">
        <v>37077.35</v>
      </c>
      <c r="T1320" s="12">
        <v>38327.629999999997</v>
      </c>
      <c r="U1320" s="12">
        <v>37887</v>
      </c>
      <c r="V1320" s="12">
        <v>41415</v>
      </c>
      <c r="W1320" s="12">
        <v>49300</v>
      </c>
      <c r="X1320" s="12">
        <v>19700</v>
      </c>
      <c r="Y1320" s="12">
        <f t="shared" si="23"/>
        <v>420074.29</v>
      </c>
    </row>
    <row r="1321" spans="1:25" ht="15">
      <c r="A1321">
        <v>2013</v>
      </c>
      <c r="B1321" t="s">
        <v>573</v>
      </c>
      <c r="C1321" t="s">
        <v>32</v>
      </c>
      <c r="D1321" t="s">
        <v>32</v>
      </c>
      <c r="E1321" t="s">
        <v>148</v>
      </c>
      <c r="F1321" t="s">
        <v>208</v>
      </c>
      <c r="G1321" t="s">
        <v>439</v>
      </c>
      <c r="H1321" t="s">
        <v>148</v>
      </c>
      <c r="I1321" t="s">
        <v>148</v>
      </c>
      <c r="J1321" t="s">
        <v>148</v>
      </c>
      <c r="K1321"/>
      <c r="L1321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>
        <v>9916</v>
      </c>
      <c r="W1321" s="12">
        <v>9916</v>
      </c>
      <c r="X1321" s="12">
        <v>9916</v>
      </c>
      <c r="Y1321" s="12">
        <f t="shared" si="23"/>
        <v>29748</v>
      </c>
    </row>
    <row r="1322" spans="1:25" ht="15">
      <c r="A1322">
        <v>2013</v>
      </c>
      <c r="B1322" t="s">
        <v>573</v>
      </c>
      <c r="C1322" t="s">
        <v>32</v>
      </c>
      <c r="D1322" t="s">
        <v>32</v>
      </c>
      <c r="E1322" t="s">
        <v>37</v>
      </c>
      <c r="F1322" t="s">
        <v>245</v>
      </c>
      <c r="G1322" t="s">
        <v>245</v>
      </c>
      <c r="H1322" t="s">
        <v>37</v>
      </c>
      <c r="I1322" t="s">
        <v>37</v>
      </c>
      <c r="J1322" t="s">
        <v>37</v>
      </c>
      <c r="K1322"/>
      <c r="L1322"/>
      <c r="M1322" s="12">
        <v>13190.59</v>
      </c>
      <c r="N1322" s="12">
        <v>19010.61</v>
      </c>
      <c r="O1322" s="12">
        <v>12246.88</v>
      </c>
      <c r="P1322" s="12">
        <v>15010.24</v>
      </c>
      <c r="Q1322" s="12">
        <v>12154.62</v>
      </c>
      <c r="R1322" s="12">
        <v>14123.74</v>
      </c>
      <c r="S1322" s="12">
        <v>10638.99</v>
      </c>
      <c r="T1322" s="12">
        <v>25894.74</v>
      </c>
      <c r="U1322" s="12">
        <v>7668.55</v>
      </c>
      <c r="V1322" s="12">
        <v>13400.78</v>
      </c>
      <c r="W1322" s="12">
        <v>23100</v>
      </c>
      <c r="X1322" s="12">
        <v>23900</v>
      </c>
      <c r="Y1322" s="12">
        <f t="shared" si="23"/>
        <v>190339.74000000002</v>
      </c>
    </row>
    <row r="1323" spans="1:25" ht="15">
      <c r="A1323">
        <v>2013</v>
      </c>
      <c r="B1323" t="s">
        <v>573</v>
      </c>
      <c r="C1323" t="s">
        <v>32</v>
      </c>
      <c r="D1323" t="s">
        <v>32</v>
      </c>
      <c r="E1323" t="s">
        <v>37</v>
      </c>
      <c r="F1323" t="s">
        <v>168</v>
      </c>
      <c r="G1323" t="s">
        <v>442</v>
      </c>
      <c r="H1323" t="s">
        <v>37</v>
      </c>
      <c r="I1323" t="s">
        <v>37</v>
      </c>
      <c r="J1323" t="s">
        <v>37</v>
      </c>
      <c r="K1323"/>
      <c r="L1323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>
        <v>4500</v>
      </c>
      <c r="X1323" s="12">
        <v>1240</v>
      </c>
      <c r="Y1323" s="12">
        <f t="shared" si="23"/>
        <v>5740</v>
      </c>
    </row>
    <row r="1324" spans="1:25" ht="15">
      <c r="A1324">
        <v>2013</v>
      </c>
      <c r="B1324" t="s">
        <v>573</v>
      </c>
      <c r="C1324" t="s">
        <v>32</v>
      </c>
      <c r="D1324" t="s">
        <v>32</v>
      </c>
      <c r="E1324" t="s">
        <v>37</v>
      </c>
      <c r="F1324" t="s">
        <v>59</v>
      </c>
      <c r="G1324" t="s">
        <v>442</v>
      </c>
      <c r="H1324" t="s">
        <v>37</v>
      </c>
      <c r="I1324" t="s">
        <v>37</v>
      </c>
      <c r="J1324" t="s">
        <v>37</v>
      </c>
      <c r="K1324"/>
      <c r="L1324"/>
      <c r="M1324" s="12"/>
      <c r="N1324" s="12">
        <v>142.4</v>
      </c>
      <c r="O1324" s="12">
        <v>738</v>
      </c>
      <c r="P1324" s="12">
        <v>154.58000000000001</v>
      </c>
      <c r="Q1324" s="12">
        <v>985.31</v>
      </c>
      <c r="R1324" s="12">
        <v>1491</v>
      </c>
      <c r="S1324" s="12"/>
      <c r="T1324" s="12"/>
      <c r="U1324" s="12"/>
      <c r="V1324" s="12">
        <v>560.54</v>
      </c>
      <c r="W1324" s="12">
        <v>1000</v>
      </c>
      <c r="X1324" s="12">
        <v>1000</v>
      </c>
      <c r="Y1324" s="12">
        <f t="shared" si="23"/>
        <v>6071.83</v>
      </c>
    </row>
    <row r="1325" spans="1:25" ht="15">
      <c r="A1325">
        <v>2013</v>
      </c>
      <c r="B1325" t="s">
        <v>573</v>
      </c>
      <c r="C1325" t="s">
        <v>32</v>
      </c>
      <c r="D1325" t="s">
        <v>32</v>
      </c>
      <c r="E1325" t="s">
        <v>37</v>
      </c>
      <c r="F1325" t="s">
        <v>66</v>
      </c>
      <c r="G1325" t="s">
        <v>442</v>
      </c>
      <c r="H1325" t="s">
        <v>37</v>
      </c>
      <c r="I1325" t="s">
        <v>37</v>
      </c>
      <c r="J1325" t="s">
        <v>37</v>
      </c>
      <c r="K1325"/>
      <c r="L1325"/>
      <c r="M1325" s="12">
        <v>2014</v>
      </c>
      <c r="N1325" s="12">
        <v>2000</v>
      </c>
      <c r="O1325" s="12">
        <v>5578</v>
      </c>
      <c r="P1325" s="12">
        <v>5599.8</v>
      </c>
      <c r="Q1325" s="12">
        <v>5600</v>
      </c>
      <c r="R1325" s="12">
        <v>5600</v>
      </c>
      <c r="S1325" s="12">
        <v>5555</v>
      </c>
      <c r="T1325" s="12">
        <v>3915</v>
      </c>
      <c r="U1325" s="12">
        <v>-3465.8</v>
      </c>
      <c r="V1325" s="12"/>
      <c r="W1325" s="12">
        <v>700</v>
      </c>
      <c r="X1325" s="12">
        <v>700</v>
      </c>
      <c r="Y1325" s="12">
        <f t="shared" si="23"/>
        <v>33796</v>
      </c>
    </row>
    <row r="1326" spans="1:25" ht="15">
      <c r="A1326">
        <v>2013</v>
      </c>
      <c r="B1326" t="s">
        <v>573</v>
      </c>
      <c r="C1326" t="s">
        <v>32</v>
      </c>
      <c r="D1326" t="s">
        <v>32</v>
      </c>
      <c r="E1326" t="s">
        <v>37</v>
      </c>
      <c r="F1326" t="s">
        <v>130</v>
      </c>
      <c r="G1326" t="s">
        <v>442</v>
      </c>
      <c r="H1326" t="s">
        <v>37</v>
      </c>
      <c r="I1326" t="s">
        <v>37</v>
      </c>
      <c r="J1326" t="s">
        <v>37</v>
      </c>
      <c r="K1326"/>
      <c r="L1326"/>
      <c r="M1326" s="12">
        <v>750</v>
      </c>
      <c r="N1326" s="12">
        <v>200</v>
      </c>
      <c r="O1326" s="12">
        <v>500</v>
      </c>
      <c r="P1326" s="12">
        <v>692</v>
      </c>
      <c r="Q1326" s="12">
        <v>400</v>
      </c>
      <c r="R1326" s="12">
        <v>800</v>
      </c>
      <c r="S1326" s="12">
        <v>574</v>
      </c>
      <c r="T1326" s="12"/>
      <c r="U1326" s="12">
        <v>720</v>
      </c>
      <c r="V1326" s="12"/>
      <c r="W1326" s="12"/>
      <c r="X1326" s="12"/>
      <c r="Y1326" s="12">
        <f t="shared" si="23"/>
        <v>4636</v>
      </c>
    </row>
    <row r="1327" spans="1:25" ht="15">
      <c r="A1327">
        <v>2013</v>
      </c>
      <c r="B1327" t="s">
        <v>573</v>
      </c>
      <c r="C1327" t="s">
        <v>32</v>
      </c>
      <c r="D1327" t="s">
        <v>32</v>
      </c>
      <c r="E1327" t="s">
        <v>37</v>
      </c>
      <c r="F1327" t="s">
        <v>130</v>
      </c>
      <c r="G1327" t="s">
        <v>439</v>
      </c>
      <c r="H1327" t="s">
        <v>37</v>
      </c>
      <c r="I1327" t="s">
        <v>37</v>
      </c>
      <c r="J1327" t="s">
        <v>37</v>
      </c>
      <c r="K1327"/>
      <c r="L1327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>
        <v>551</v>
      </c>
      <c r="W1327" s="12"/>
      <c r="X1327" s="12"/>
      <c r="Y1327" s="12">
        <f t="shared" si="23"/>
        <v>551</v>
      </c>
    </row>
    <row r="1328" spans="1:25" ht="15">
      <c r="A1328">
        <v>2013</v>
      </c>
      <c r="B1328" t="s">
        <v>573</v>
      </c>
      <c r="C1328" t="s">
        <v>32</v>
      </c>
      <c r="D1328" t="s">
        <v>32</v>
      </c>
      <c r="E1328" t="s">
        <v>37</v>
      </c>
      <c r="F1328" t="s">
        <v>33</v>
      </c>
      <c r="G1328" t="s">
        <v>442</v>
      </c>
      <c r="H1328" t="s">
        <v>37</v>
      </c>
      <c r="I1328" t="s">
        <v>37</v>
      </c>
      <c r="J1328" t="s">
        <v>37</v>
      </c>
      <c r="K1328"/>
      <c r="L1328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>
        <v>1000</v>
      </c>
      <c r="X1328" s="12">
        <v>1000</v>
      </c>
      <c r="Y1328" s="12">
        <f t="shared" si="23"/>
        <v>2000</v>
      </c>
    </row>
    <row r="1329" spans="1:25" ht="15">
      <c r="A1329">
        <v>2013</v>
      </c>
      <c r="B1329" t="s">
        <v>573</v>
      </c>
      <c r="C1329" t="s">
        <v>32</v>
      </c>
      <c r="D1329" t="s">
        <v>32</v>
      </c>
      <c r="E1329" t="s">
        <v>37</v>
      </c>
      <c r="F1329" t="s">
        <v>151</v>
      </c>
      <c r="G1329" t="s">
        <v>442</v>
      </c>
      <c r="H1329" t="s">
        <v>37</v>
      </c>
      <c r="I1329" t="s">
        <v>37</v>
      </c>
      <c r="J1329" t="s">
        <v>37</v>
      </c>
      <c r="K1329"/>
      <c r="L1329"/>
      <c r="M1329" s="12">
        <v>1424.39</v>
      </c>
      <c r="N1329" s="12">
        <v>4885.59</v>
      </c>
      <c r="O1329" s="12">
        <v>1433.2</v>
      </c>
      <c r="P1329" s="12">
        <v>4962.7</v>
      </c>
      <c r="Q1329" s="12">
        <v>2241</v>
      </c>
      <c r="R1329" s="12">
        <v>2841.61</v>
      </c>
      <c r="S1329" s="12">
        <v>921.9</v>
      </c>
      <c r="T1329" s="12">
        <v>4122.8999999999996</v>
      </c>
      <c r="U1329" s="12">
        <v>1674.34</v>
      </c>
      <c r="V1329" s="12">
        <v>5442.93</v>
      </c>
      <c r="W1329" s="12">
        <v>9000</v>
      </c>
      <c r="X1329" s="12">
        <v>9000</v>
      </c>
      <c r="Y1329" s="12">
        <f t="shared" si="23"/>
        <v>47950.559999999998</v>
      </c>
    </row>
    <row r="1330" spans="1:25" ht="15">
      <c r="A1330">
        <v>2013</v>
      </c>
      <c r="B1330" t="s">
        <v>573</v>
      </c>
      <c r="C1330" t="s">
        <v>32</v>
      </c>
      <c r="D1330" t="s">
        <v>32</v>
      </c>
      <c r="E1330" t="s">
        <v>37</v>
      </c>
      <c r="F1330" t="s">
        <v>193</v>
      </c>
      <c r="G1330" t="s">
        <v>442</v>
      </c>
      <c r="H1330" t="s">
        <v>37</v>
      </c>
      <c r="I1330" t="s">
        <v>37</v>
      </c>
      <c r="J1330" t="s">
        <v>37</v>
      </c>
      <c r="K1330"/>
      <c r="L1330"/>
      <c r="M1330" s="12"/>
      <c r="N1330" s="12">
        <v>999.97</v>
      </c>
      <c r="O1330" s="12">
        <v>999.98</v>
      </c>
      <c r="P1330" s="12">
        <v>2582.1</v>
      </c>
      <c r="Q1330" s="12">
        <v>1832.22</v>
      </c>
      <c r="R1330" s="12">
        <v>1579.74</v>
      </c>
      <c r="S1330" s="12">
        <v>191.57</v>
      </c>
      <c r="T1330" s="12">
        <v>1575.07</v>
      </c>
      <c r="U1330" s="12">
        <v>350</v>
      </c>
      <c r="V1330" s="12">
        <v>350</v>
      </c>
      <c r="W1330" s="12">
        <v>1500</v>
      </c>
      <c r="X1330" s="12">
        <v>400</v>
      </c>
      <c r="Y1330" s="12">
        <f t="shared" si="23"/>
        <v>12360.65</v>
      </c>
    </row>
    <row r="1331" spans="1:25" ht="15">
      <c r="A1331">
        <v>2013</v>
      </c>
      <c r="B1331" t="s">
        <v>573</v>
      </c>
      <c r="C1331" t="s">
        <v>32</v>
      </c>
      <c r="D1331" t="s">
        <v>32</v>
      </c>
      <c r="E1331" t="s">
        <v>37</v>
      </c>
      <c r="F1331" t="s">
        <v>186</v>
      </c>
      <c r="G1331" t="s">
        <v>442</v>
      </c>
      <c r="H1331" t="s">
        <v>37</v>
      </c>
      <c r="I1331" t="s">
        <v>37</v>
      </c>
      <c r="J1331" t="s">
        <v>37</v>
      </c>
      <c r="K1331"/>
      <c r="L1331"/>
      <c r="M1331" s="12">
        <v>376</v>
      </c>
      <c r="N1331" s="12">
        <v>390</v>
      </c>
      <c r="O1331" s="12">
        <v>730</v>
      </c>
      <c r="P1331" s="12"/>
      <c r="Q1331" s="12"/>
      <c r="R1331" s="12">
        <v>368</v>
      </c>
      <c r="S1331" s="12"/>
      <c r="T1331" s="12"/>
      <c r="U1331" s="12"/>
      <c r="V1331" s="12"/>
      <c r="W1331" s="12">
        <v>756</v>
      </c>
      <c r="X1331" s="12">
        <v>1550</v>
      </c>
      <c r="Y1331" s="12">
        <f t="shared" si="23"/>
        <v>4170</v>
      </c>
    </row>
    <row r="1332" spans="1:25" ht="15">
      <c r="A1332">
        <v>2013</v>
      </c>
      <c r="B1332" t="s">
        <v>573</v>
      </c>
      <c r="C1332" t="s">
        <v>32</v>
      </c>
      <c r="D1332" t="s">
        <v>32</v>
      </c>
      <c r="E1332" t="s">
        <v>37</v>
      </c>
      <c r="F1332" t="s">
        <v>208</v>
      </c>
      <c r="G1332" t="s">
        <v>439</v>
      </c>
      <c r="H1332" t="s">
        <v>37</v>
      </c>
      <c r="I1332" t="s">
        <v>37</v>
      </c>
      <c r="J1332" t="s">
        <v>37</v>
      </c>
      <c r="K1332"/>
      <c r="L133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>
        <v>2835.04</v>
      </c>
      <c r="W1332" s="12">
        <v>2040</v>
      </c>
      <c r="X1332" s="12">
        <v>650</v>
      </c>
      <c r="Y1332" s="12">
        <f t="shared" si="23"/>
        <v>5525.04</v>
      </c>
    </row>
    <row r="1333" spans="1:25" ht="15">
      <c r="A1333">
        <v>2013</v>
      </c>
      <c r="B1333" t="s">
        <v>573</v>
      </c>
      <c r="C1333" t="s">
        <v>32</v>
      </c>
      <c r="D1333" t="s">
        <v>32</v>
      </c>
      <c r="E1333" t="s">
        <v>27</v>
      </c>
      <c r="F1333" t="s">
        <v>245</v>
      </c>
      <c r="G1333" t="s">
        <v>245</v>
      </c>
      <c r="H1333" t="s">
        <v>27</v>
      </c>
      <c r="I1333" t="s">
        <v>27</v>
      </c>
      <c r="J1333" t="s">
        <v>28</v>
      </c>
      <c r="K1333"/>
      <c r="L1333"/>
      <c r="M1333" s="12"/>
      <c r="N1333" s="12"/>
      <c r="O1333" s="12"/>
      <c r="P1333" s="12"/>
      <c r="Q1333" s="12"/>
      <c r="R1333" s="12">
        <v>707.94</v>
      </c>
      <c r="S1333" s="12">
        <v>609.48</v>
      </c>
      <c r="T1333" s="12">
        <v>605.4</v>
      </c>
      <c r="U1333" s="12"/>
      <c r="V1333" s="12"/>
      <c r="W1333" s="12"/>
      <c r="X1333" s="12"/>
      <c r="Y1333" s="12">
        <f t="shared" si="23"/>
        <v>1922.8200000000002</v>
      </c>
    </row>
    <row r="1334" spans="1:25" ht="15">
      <c r="A1334">
        <v>2013</v>
      </c>
      <c r="B1334" t="s">
        <v>573</v>
      </c>
      <c r="C1334" t="s">
        <v>32</v>
      </c>
      <c r="D1334" t="s">
        <v>32</v>
      </c>
      <c r="E1334" t="s">
        <v>27</v>
      </c>
      <c r="F1334" t="s">
        <v>168</v>
      </c>
      <c r="G1334" t="s">
        <v>442</v>
      </c>
      <c r="H1334" t="s">
        <v>27</v>
      </c>
      <c r="I1334" t="s">
        <v>27</v>
      </c>
      <c r="J1334" t="s">
        <v>28</v>
      </c>
      <c r="K1334"/>
      <c r="L1334"/>
      <c r="M1334" s="12">
        <v>388.8</v>
      </c>
      <c r="N1334" s="12">
        <v>200</v>
      </c>
      <c r="O1334" s="12">
        <v>200</v>
      </c>
      <c r="P1334" s="12">
        <v>200</v>
      </c>
      <c r="Q1334" s="12">
        <v>200</v>
      </c>
      <c r="R1334" s="12">
        <v>200</v>
      </c>
      <c r="S1334" s="12">
        <v>200</v>
      </c>
      <c r="T1334" s="12">
        <v>250</v>
      </c>
      <c r="U1334" s="12">
        <v>250</v>
      </c>
      <c r="V1334" s="12">
        <v>243.44</v>
      </c>
      <c r="W1334" s="12">
        <v>250</v>
      </c>
      <c r="X1334" s="12">
        <v>250</v>
      </c>
      <c r="Y1334" s="12">
        <f t="shared" si="23"/>
        <v>2832.2400000000002</v>
      </c>
    </row>
    <row r="1335" spans="1:25" ht="15">
      <c r="A1335">
        <v>2013</v>
      </c>
      <c r="B1335" t="s">
        <v>573</v>
      </c>
      <c r="C1335" t="s">
        <v>32</v>
      </c>
      <c r="D1335" t="s">
        <v>32</v>
      </c>
      <c r="E1335" t="s">
        <v>27</v>
      </c>
      <c r="F1335" t="s">
        <v>168</v>
      </c>
      <c r="G1335" t="s">
        <v>442</v>
      </c>
      <c r="H1335" t="s">
        <v>27</v>
      </c>
      <c r="I1335" t="s">
        <v>27</v>
      </c>
      <c r="J1335" t="s">
        <v>60</v>
      </c>
      <c r="K1335"/>
      <c r="L1335"/>
      <c r="M1335" s="12">
        <v>220</v>
      </c>
      <c r="N1335" s="12">
        <v>220</v>
      </c>
      <c r="O1335" s="12">
        <v>220</v>
      </c>
      <c r="P1335" s="12">
        <v>220</v>
      </c>
      <c r="Q1335" s="12">
        <v>110</v>
      </c>
      <c r="R1335" s="12">
        <v>250</v>
      </c>
      <c r="S1335" s="12">
        <v>110</v>
      </c>
      <c r="T1335" s="12"/>
      <c r="U1335" s="12">
        <v>250</v>
      </c>
      <c r="V1335" s="12">
        <v>220</v>
      </c>
      <c r="W1335" s="12">
        <v>250</v>
      </c>
      <c r="X1335" s="12">
        <v>250</v>
      </c>
      <c r="Y1335" s="12">
        <f t="shared" si="23"/>
        <v>2320</v>
      </c>
    </row>
    <row r="1336" spans="1:25" ht="15">
      <c r="A1336">
        <v>2013</v>
      </c>
      <c r="B1336" t="s">
        <v>573</v>
      </c>
      <c r="C1336" t="s">
        <v>32</v>
      </c>
      <c r="D1336" t="s">
        <v>32</v>
      </c>
      <c r="E1336" t="s">
        <v>27</v>
      </c>
      <c r="F1336" t="s">
        <v>59</v>
      </c>
      <c r="G1336" t="s">
        <v>442</v>
      </c>
      <c r="H1336" t="s">
        <v>27</v>
      </c>
      <c r="I1336" t="s">
        <v>27</v>
      </c>
      <c r="J1336" t="s">
        <v>28</v>
      </c>
      <c r="K1336"/>
      <c r="L1336"/>
      <c r="M1336" s="12">
        <v>300</v>
      </c>
      <c r="N1336" s="12">
        <v>120</v>
      </c>
      <c r="O1336" s="12">
        <v>446.4</v>
      </c>
      <c r="P1336" s="12"/>
      <c r="Q1336" s="12"/>
      <c r="R1336" s="12"/>
      <c r="S1336" s="12">
        <v>185.4</v>
      </c>
      <c r="T1336" s="12">
        <v>50</v>
      </c>
      <c r="U1336" s="12"/>
      <c r="V1336" s="12"/>
      <c r="W1336" s="12">
        <v>300</v>
      </c>
      <c r="X1336" s="12">
        <v>300</v>
      </c>
      <c r="Y1336" s="12">
        <f t="shared" si="23"/>
        <v>1701.8</v>
      </c>
    </row>
    <row r="1337" spans="1:25" ht="15">
      <c r="A1337">
        <v>2013</v>
      </c>
      <c r="B1337" t="s">
        <v>573</v>
      </c>
      <c r="C1337" t="s">
        <v>32</v>
      </c>
      <c r="D1337" t="s">
        <v>32</v>
      </c>
      <c r="E1337" t="s">
        <v>27</v>
      </c>
      <c r="F1337" t="s">
        <v>59</v>
      </c>
      <c r="G1337" t="s">
        <v>442</v>
      </c>
      <c r="H1337" t="s">
        <v>27</v>
      </c>
      <c r="I1337" t="s">
        <v>27</v>
      </c>
      <c r="J1337" t="s">
        <v>60</v>
      </c>
      <c r="K1337"/>
      <c r="L1337"/>
      <c r="M1337" s="12">
        <v>243</v>
      </c>
      <c r="N1337" s="12"/>
      <c r="O1337" s="12">
        <v>460</v>
      </c>
      <c r="P1337" s="12">
        <v>466</v>
      </c>
      <c r="Q1337" s="12"/>
      <c r="R1337" s="12"/>
      <c r="S1337" s="12"/>
      <c r="T1337" s="12"/>
      <c r="U1337" s="12"/>
      <c r="V1337" s="12"/>
      <c r="W1337" s="12">
        <v>625</v>
      </c>
      <c r="X1337" s="12">
        <v>625</v>
      </c>
      <c r="Y1337" s="12">
        <f t="shared" si="23"/>
        <v>2419</v>
      </c>
    </row>
    <row r="1338" spans="1:25" ht="15">
      <c r="A1338">
        <v>2013</v>
      </c>
      <c r="B1338" t="s">
        <v>573</v>
      </c>
      <c r="C1338" t="s">
        <v>32</v>
      </c>
      <c r="D1338" t="s">
        <v>32</v>
      </c>
      <c r="E1338" t="s">
        <v>27</v>
      </c>
      <c r="F1338" t="s">
        <v>33</v>
      </c>
      <c r="G1338" t="s">
        <v>442</v>
      </c>
      <c r="H1338" t="s">
        <v>27</v>
      </c>
      <c r="I1338" t="s">
        <v>27</v>
      </c>
      <c r="J1338" t="s">
        <v>28</v>
      </c>
      <c r="K1338"/>
      <c r="L1338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>
        <v>50</v>
      </c>
      <c r="Y1338" s="12">
        <f t="shared" si="23"/>
        <v>50</v>
      </c>
    </row>
    <row r="1339" spans="1:25" ht="15">
      <c r="A1339">
        <v>2013</v>
      </c>
      <c r="B1339" t="s">
        <v>573</v>
      </c>
      <c r="C1339" t="s">
        <v>32</v>
      </c>
      <c r="D1339" t="s">
        <v>32</v>
      </c>
      <c r="E1339" t="s">
        <v>27</v>
      </c>
      <c r="F1339" t="s">
        <v>151</v>
      </c>
      <c r="G1339" t="s">
        <v>442</v>
      </c>
      <c r="H1339" t="s">
        <v>27</v>
      </c>
      <c r="I1339" t="s">
        <v>27</v>
      </c>
      <c r="J1339" t="s">
        <v>28</v>
      </c>
      <c r="K1339"/>
      <c r="L1339"/>
      <c r="M1339" s="12">
        <v>314.73</v>
      </c>
      <c r="N1339" s="12">
        <v>89.4</v>
      </c>
      <c r="O1339" s="12">
        <v>218.42</v>
      </c>
      <c r="P1339" s="12">
        <v>199.86</v>
      </c>
      <c r="Q1339" s="12">
        <v>232.16</v>
      </c>
      <c r="R1339" s="12">
        <v>247.74</v>
      </c>
      <c r="S1339" s="12">
        <v>178.13</v>
      </c>
      <c r="T1339" s="12">
        <v>366.49</v>
      </c>
      <c r="U1339" s="12">
        <v>148.97999999999999</v>
      </c>
      <c r="V1339" s="12">
        <v>59.52</v>
      </c>
      <c r="W1339" s="12">
        <v>200</v>
      </c>
      <c r="X1339" s="12">
        <v>200</v>
      </c>
      <c r="Y1339" s="12">
        <f t="shared" si="23"/>
        <v>2455.4300000000003</v>
      </c>
    </row>
    <row r="1340" spans="1:25" ht="15">
      <c r="A1340">
        <v>2013</v>
      </c>
      <c r="B1340" t="s">
        <v>573</v>
      </c>
      <c r="C1340" t="s">
        <v>32</v>
      </c>
      <c r="D1340" t="s">
        <v>32</v>
      </c>
      <c r="E1340" t="s">
        <v>27</v>
      </c>
      <c r="F1340" t="s">
        <v>151</v>
      </c>
      <c r="G1340" t="s">
        <v>442</v>
      </c>
      <c r="H1340" t="s">
        <v>27</v>
      </c>
      <c r="I1340" t="s">
        <v>27</v>
      </c>
      <c r="J1340" t="s">
        <v>60</v>
      </c>
      <c r="K1340"/>
      <c r="L1340"/>
      <c r="M1340" s="12"/>
      <c r="N1340" s="12"/>
      <c r="O1340" s="12"/>
      <c r="P1340" s="12">
        <v>30</v>
      </c>
      <c r="Q1340" s="12"/>
      <c r="R1340" s="12"/>
      <c r="S1340" s="12"/>
      <c r="T1340" s="12"/>
      <c r="U1340" s="12"/>
      <c r="V1340" s="12"/>
      <c r="W1340" s="12"/>
      <c r="X1340" s="12"/>
      <c r="Y1340" s="12">
        <f t="shared" si="23"/>
        <v>30</v>
      </c>
    </row>
    <row r="1341" spans="1:25" ht="15">
      <c r="A1341">
        <v>2013</v>
      </c>
      <c r="B1341" t="s">
        <v>573</v>
      </c>
      <c r="C1341" t="s">
        <v>32</v>
      </c>
      <c r="D1341" t="s">
        <v>32</v>
      </c>
      <c r="E1341" t="s">
        <v>27</v>
      </c>
      <c r="F1341" t="s">
        <v>193</v>
      </c>
      <c r="G1341" t="s">
        <v>442</v>
      </c>
      <c r="H1341" t="s">
        <v>27</v>
      </c>
      <c r="I1341" t="s">
        <v>27</v>
      </c>
      <c r="J1341" t="s">
        <v>28</v>
      </c>
      <c r="K1341"/>
      <c r="L1341"/>
      <c r="M1341" s="12">
        <v>99.91</v>
      </c>
      <c r="N1341" s="12"/>
      <c r="O1341" s="12">
        <v>197.26</v>
      </c>
      <c r="P1341" s="12"/>
      <c r="Q1341" s="12">
        <v>99.12</v>
      </c>
      <c r="R1341" s="12">
        <v>98.32</v>
      </c>
      <c r="S1341" s="12">
        <v>99</v>
      </c>
      <c r="T1341" s="12">
        <v>99</v>
      </c>
      <c r="U1341" s="12">
        <v>99</v>
      </c>
      <c r="V1341" s="12">
        <v>99</v>
      </c>
      <c r="W1341" s="12">
        <v>100</v>
      </c>
      <c r="X1341" s="12">
        <v>100</v>
      </c>
      <c r="Y1341" s="12">
        <f t="shared" si="23"/>
        <v>1090.6099999999999</v>
      </c>
    </row>
    <row r="1342" spans="1:25" ht="15">
      <c r="A1342">
        <v>2013</v>
      </c>
      <c r="B1342" t="s">
        <v>573</v>
      </c>
      <c r="C1342" t="s">
        <v>32</v>
      </c>
      <c r="D1342" t="s">
        <v>32</v>
      </c>
      <c r="E1342" t="s">
        <v>27</v>
      </c>
      <c r="F1342" t="s">
        <v>8</v>
      </c>
      <c r="G1342" t="s">
        <v>439</v>
      </c>
      <c r="H1342" t="s">
        <v>27</v>
      </c>
      <c r="I1342" t="s">
        <v>27</v>
      </c>
      <c r="J1342" t="s">
        <v>28</v>
      </c>
      <c r="K1342"/>
      <c r="L1342"/>
      <c r="M1342" s="12">
        <v>190.27</v>
      </c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>
        <f t="shared" si="23"/>
        <v>190.27</v>
      </c>
    </row>
    <row r="1343" spans="1:25" ht="15">
      <c r="A1343">
        <v>2013</v>
      </c>
      <c r="B1343" t="s">
        <v>573</v>
      </c>
      <c r="C1343" t="s">
        <v>32</v>
      </c>
      <c r="D1343" t="s">
        <v>32</v>
      </c>
      <c r="E1343" t="s">
        <v>27</v>
      </c>
      <c r="F1343" t="s">
        <v>186</v>
      </c>
      <c r="G1343" t="s">
        <v>442</v>
      </c>
      <c r="H1343" t="s">
        <v>27</v>
      </c>
      <c r="I1343" t="s">
        <v>27</v>
      </c>
      <c r="J1343" t="s">
        <v>28</v>
      </c>
      <c r="K1343"/>
      <c r="L1343"/>
      <c r="M1343" s="12">
        <v>400</v>
      </c>
      <c r="N1343" s="12">
        <v>409.56</v>
      </c>
      <c r="O1343" s="12">
        <v>407.64</v>
      </c>
      <c r="P1343" s="12">
        <v>409.98</v>
      </c>
      <c r="Q1343" s="12">
        <v>709.92</v>
      </c>
      <c r="R1343" s="12"/>
      <c r="S1343" s="12"/>
      <c r="T1343" s="12"/>
      <c r="U1343" s="12">
        <v>609</v>
      </c>
      <c r="V1343" s="12">
        <v>609.78</v>
      </c>
      <c r="W1343" s="12">
        <v>610</v>
      </c>
      <c r="X1343" s="12">
        <v>610</v>
      </c>
      <c r="Y1343" s="12">
        <f t="shared" si="23"/>
        <v>4775.88</v>
      </c>
    </row>
    <row r="1344" spans="1:25" ht="15">
      <c r="A1344">
        <v>2013</v>
      </c>
      <c r="B1344" t="s">
        <v>573</v>
      </c>
      <c r="C1344" t="s">
        <v>32</v>
      </c>
      <c r="D1344" t="s">
        <v>32</v>
      </c>
      <c r="E1344" t="s">
        <v>27</v>
      </c>
      <c r="F1344" t="s">
        <v>186</v>
      </c>
      <c r="G1344" t="s">
        <v>442</v>
      </c>
      <c r="H1344" t="s">
        <v>27</v>
      </c>
      <c r="I1344" t="s">
        <v>27</v>
      </c>
      <c r="J1344" t="s">
        <v>60</v>
      </c>
      <c r="K1344"/>
      <c r="L1344"/>
      <c r="M1344" s="12"/>
      <c r="N1344" s="12">
        <v>275</v>
      </c>
      <c r="O1344" s="12">
        <v>130</v>
      </c>
      <c r="P1344" s="12">
        <v>580</v>
      </c>
      <c r="Q1344" s="12">
        <v>405</v>
      </c>
      <c r="R1344" s="12">
        <v>530</v>
      </c>
      <c r="S1344" s="12">
        <v>260</v>
      </c>
      <c r="T1344" s="12">
        <v>405</v>
      </c>
      <c r="U1344" s="12">
        <v>65</v>
      </c>
      <c r="V1344" s="12">
        <v>340</v>
      </c>
      <c r="W1344" s="12">
        <v>360</v>
      </c>
      <c r="X1344" s="12">
        <v>360</v>
      </c>
      <c r="Y1344" s="12">
        <f t="shared" si="23"/>
        <v>3710</v>
      </c>
    </row>
    <row r="1345" spans="1:25" ht="15">
      <c r="A1345">
        <v>2013</v>
      </c>
      <c r="B1345" t="s">
        <v>573</v>
      </c>
      <c r="C1345" t="s">
        <v>32</v>
      </c>
      <c r="D1345" t="s">
        <v>32</v>
      </c>
      <c r="E1345" t="s">
        <v>27</v>
      </c>
      <c r="F1345" t="s">
        <v>208</v>
      </c>
      <c r="G1345" t="s">
        <v>439</v>
      </c>
      <c r="H1345" t="s">
        <v>27</v>
      </c>
      <c r="I1345" t="s">
        <v>27</v>
      </c>
      <c r="J1345" t="s">
        <v>28</v>
      </c>
      <c r="K1345"/>
      <c r="L1345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>
        <v>50.04</v>
      </c>
      <c r="W1345" s="12">
        <v>50</v>
      </c>
      <c r="X1345" s="12">
        <v>50</v>
      </c>
      <c r="Y1345" s="12">
        <f t="shared" si="23"/>
        <v>150.04</v>
      </c>
    </row>
    <row r="1346" spans="1:25" ht="15">
      <c r="A1346">
        <v>2013</v>
      </c>
      <c r="B1346" t="s">
        <v>573</v>
      </c>
      <c r="C1346" t="s">
        <v>32</v>
      </c>
      <c r="D1346" t="s">
        <v>32</v>
      </c>
      <c r="E1346" t="s">
        <v>22</v>
      </c>
      <c r="F1346" t="s">
        <v>245</v>
      </c>
      <c r="G1346" t="s">
        <v>245</v>
      </c>
      <c r="H1346" t="s">
        <v>22</v>
      </c>
      <c r="I1346" t="s">
        <v>145</v>
      </c>
      <c r="J1346" t="s">
        <v>146</v>
      </c>
      <c r="K1346"/>
      <c r="L1346"/>
      <c r="M1346" s="12"/>
      <c r="N1346" s="12"/>
      <c r="O1346" s="12"/>
      <c r="P1346" s="12"/>
      <c r="Q1346" s="12"/>
      <c r="R1346" s="12"/>
      <c r="S1346" s="12">
        <v>200</v>
      </c>
      <c r="T1346" s="12"/>
      <c r="U1346" s="12"/>
      <c r="V1346" s="12"/>
      <c r="W1346" s="12"/>
      <c r="X1346" s="12"/>
      <c r="Y1346" s="12">
        <f t="shared" si="23"/>
        <v>200</v>
      </c>
    </row>
    <row r="1347" spans="1:25" ht="15">
      <c r="A1347">
        <v>2013</v>
      </c>
      <c r="B1347" t="s">
        <v>573</v>
      </c>
      <c r="C1347" t="s">
        <v>32</v>
      </c>
      <c r="D1347" t="s">
        <v>32</v>
      </c>
      <c r="E1347" t="s">
        <v>149</v>
      </c>
      <c r="F1347" t="s">
        <v>245</v>
      </c>
      <c r="G1347" t="s">
        <v>245</v>
      </c>
      <c r="H1347" t="s">
        <v>149</v>
      </c>
      <c r="I1347" t="s">
        <v>149</v>
      </c>
      <c r="J1347" t="s">
        <v>150</v>
      </c>
      <c r="K1347"/>
      <c r="L1347"/>
      <c r="M1347" s="12">
        <v>5906.044516187485</v>
      </c>
      <c r="N1347" s="12">
        <v>4899.6616945992191</v>
      </c>
      <c r="O1347" s="12">
        <v>10123.630479430476</v>
      </c>
      <c r="P1347" s="12">
        <v>10930.860343291615</v>
      </c>
      <c r="Q1347" s="12">
        <v>9344.9356022336597</v>
      </c>
      <c r="R1347" s="12">
        <v>9056.625530415271</v>
      </c>
      <c r="S1347" s="12">
        <v>15539.630927970446</v>
      </c>
      <c r="T1347" s="12">
        <v>8541.9048766750584</v>
      </c>
      <c r="U1347" s="12">
        <v>7862.4173780679712</v>
      </c>
      <c r="V1347" s="12">
        <v>18299.99460784089</v>
      </c>
      <c r="W1347" s="12">
        <v>8997.56</v>
      </c>
      <c r="X1347" s="12">
        <v>8997.56</v>
      </c>
      <c r="Y1347" s="12">
        <f t="shared" si="23"/>
        <v>118500.8259567121</v>
      </c>
    </row>
    <row r="1348" spans="1:25" ht="15">
      <c r="A1348">
        <v>2013</v>
      </c>
      <c r="B1348" t="s">
        <v>573</v>
      </c>
      <c r="C1348" t="s">
        <v>32</v>
      </c>
      <c r="D1348" t="s">
        <v>32</v>
      </c>
      <c r="E1348" t="s">
        <v>149</v>
      </c>
      <c r="F1348" t="s">
        <v>168</v>
      </c>
      <c r="G1348" t="s">
        <v>442</v>
      </c>
      <c r="H1348" t="s">
        <v>149</v>
      </c>
      <c r="I1348" t="s">
        <v>149</v>
      </c>
      <c r="J1348" t="s">
        <v>150</v>
      </c>
      <c r="K1348"/>
      <c r="L1348"/>
      <c r="M1348" s="12">
        <v>5719.0902374237403</v>
      </c>
      <c r="N1348" s="12">
        <v>4481.8610849822308</v>
      </c>
      <c r="O1348" s="12">
        <v>8219.3628837446668</v>
      </c>
      <c r="P1348" s="12">
        <v>8884.5061627202831</v>
      </c>
      <c r="Q1348" s="12">
        <v>7595.4806246539001</v>
      </c>
      <c r="R1348" s="12">
        <v>8376.5811358755527</v>
      </c>
      <c r="S1348" s="12">
        <v>5848.254384453795</v>
      </c>
      <c r="T1348" s="12">
        <v>8373.8875114033672</v>
      </c>
      <c r="U1348" s="12">
        <v>7260.386110410971</v>
      </c>
      <c r="V1348" s="12">
        <v>8449.1684725928462</v>
      </c>
      <c r="W1348" s="12">
        <v>8308.61</v>
      </c>
      <c r="X1348" s="12">
        <v>8308.61</v>
      </c>
      <c r="Y1348" s="12">
        <f t="shared" si="23"/>
        <v>89825.79860826135</v>
      </c>
    </row>
    <row r="1349" spans="1:25" ht="15">
      <c r="A1349">
        <v>2013</v>
      </c>
      <c r="B1349" t="s">
        <v>573</v>
      </c>
      <c r="C1349" t="s">
        <v>32</v>
      </c>
      <c r="D1349" t="s">
        <v>32</v>
      </c>
      <c r="E1349" t="s">
        <v>149</v>
      </c>
      <c r="F1349" t="s">
        <v>59</v>
      </c>
      <c r="G1349" t="s">
        <v>442</v>
      </c>
      <c r="H1349" t="s">
        <v>149</v>
      </c>
      <c r="I1349" t="s">
        <v>149</v>
      </c>
      <c r="J1349" t="s">
        <v>150</v>
      </c>
      <c r="K1349"/>
      <c r="L1349"/>
      <c r="M1349" s="12">
        <v>4209.4001855235811</v>
      </c>
      <c r="N1349" s="12">
        <v>3298.6681740007898</v>
      </c>
      <c r="O1349" s="12">
        <v>6049.0666722999858</v>
      </c>
      <c r="P1349" s="12">
        <v>6531.4022609298827</v>
      </c>
      <c r="Q1349" s="12">
        <v>5583.7812947753237</v>
      </c>
      <c r="R1349" s="12">
        <v>6415.5549053840277</v>
      </c>
      <c r="S1349" s="12">
        <v>4543.2321228995852</v>
      </c>
      <c r="T1349" s="12">
        <v>6413.4918804559002</v>
      </c>
      <c r="U1349" s="12">
        <v>5903.314394508041</v>
      </c>
      <c r="V1349" s="12">
        <v>6869.8960506189296</v>
      </c>
      <c r="W1349" s="12">
        <v>6755.61</v>
      </c>
      <c r="X1349" s="12">
        <v>6755.61</v>
      </c>
      <c r="Y1349" s="12">
        <f t="shared" si="23"/>
        <v>69329.027941396052</v>
      </c>
    </row>
    <row r="1350" spans="1:25" ht="15">
      <c r="A1350">
        <v>2013</v>
      </c>
      <c r="B1350" t="s">
        <v>573</v>
      </c>
      <c r="C1350" t="s">
        <v>32</v>
      </c>
      <c r="D1350" t="s">
        <v>32</v>
      </c>
      <c r="E1350" t="s">
        <v>149</v>
      </c>
      <c r="F1350" t="s">
        <v>66</v>
      </c>
      <c r="G1350" t="s">
        <v>442</v>
      </c>
      <c r="H1350" t="s">
        <v>149</v>
      </c>
      <c r="I1350" t="s">
        <v>149</v>
      </c>
      <c r="J1350" t="s">
        <v>150</v>
      </c>
      <c r="K1350"/>
      <c r="L1350"/>
      <c r="M1350" s="12">
        <v>14289.601654410853</v>
      </c>
      <c r="N1350" s="12">
        <v>11165.519872987319</v>
      </c>
      <c r="O1350" s="12">
        <v>22098.15819274676</v>
      </c>
      <c r="P1350" s="12">
        <v>23869.946238037614</v>
      </c>
      <c r="Q1350" s="12">
        <v>20406.729517877095</v>
      </c>
      <c r="R1350" s="12">
        <v>20865.194876469821</v>
      </c>
      <c r="S1350" s="12">
        <v>18984.023227400237</v>
      </c>
      <c r="T1350" s="12">
        <v>22316.604171713712</v>
      </c>
      <c r="U1350" s="12">
        <v>20988.752534260642</v>
      </c>
      <c r="V1350" s="12">
        <v>23904.733792457264</v>
      </c>
      <c r="W1350" s="12">
        <v>23507.06</v>
      </c>
      <c r="X1350" s="12">
        <v>23507.06</v>
      </c>
      <c r="Y1350" s="12">
        <f t="shared" si="23"/>
        <v>245903.3840783613</v>
      </c>
    </row>
    <row r="1351" spans="1:25" ht="15">
      <c r="A1351">
        <v>2013</v>
      </c>
      <c r="B1351" t="s">
        <v>573</v>
      </c>
      <c r="C1351" t="s">
        <v>32</v>
      </c>
      <c r="D1351" t="s">
        <v>32</v>
      </c>
      <c r="E1351" t="s">
        <v>149</v>
      </c>
      <c r="F1351" t="s">
        <v>130</v>
      </c>
      <c r="G1351" t="s">
        <v>442</v>
      </c>
      <c r="H1351" t="s">
        <v>149</v>
      </c>
      <c r="I1351" t="s">
        <v>149</v>
      </c>
      <c r="J1351" t="s">
        <v>150</v>
      </c>
      <c r="K1351"/>
      <c r="L1351"/>
      <c r="M1351" s="12">
        <v>4263.0907587474721</v>
      </c>
      <c r="N1351" s="12">
        <v>3322.8384572017726</v>
      </c>
      <c r="O1351" s="12">
        <v>6094.1945479291744</v>
      </c>
      <c r="P1351" s="12">
        <v>6580.1285066274486</v>
      </c>
      <c r="Q1351" s="12">
        <v>5625.4380000923775</v>
      </c>
      <c r="R1351" s="12">
        <v>5483.7642658911182</v>
      </c>
      <c r="S1351" s="12">
        <v>5405.9833238511319</v>
      </c>
      <c r="T1351" s="12">
        <v>5482.0008732388287</v>
      </c>
      <c r="U1351" s="12">
        <v>5045.9212031302977</v>
      </c>
      <c r="V1351" s="12"/>
      <c r="W1351" s="12"/>
      <c r="X1351" s="12"/>
      <c r="Y1351" s="12">
        <f t="shared" si="23"/>
        <v>47303.359936709618</v>
      </c>
    </row>
    <row r="1352" spans="1:25" ht="15">
      <c r="A1352">
        <v>2013</v>
      </c>
      <c r="B1352" t="s">
        <v>573</v>
      </c>
      <c r="C1352" t="s">
        <v>32</v>
      </c>
      <c r="D1352" t="s">
        <v>32</v>
      </c>
      <c r="E1352" t="s">
        <v>149</v>
      </c>
      <c r="F1352" t="s">
        <v>33</v>
      </c>
      <c r="G1352" t="s">
        <v>442</v>
      </c>
      <c r="H1352" t="s">
        <v>149</v>
      </c>
      <c r="I1352" t="s">
        <v>149</v>
      </c>
      <c r="J1352" t="s">
        <v>150</v>
      </c>
      <c r="K1352"/>
      <c r="L135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>
        <v>5872.1172257687267</v>
      </c>
      <c r="W1352" s="12">
        <v>5774.43</v>
      </c>
      <c r="X1352" s="12">
        <v>5774.43</v>
      </c>
      <c r="Y1352" s="12">
        <f t="shared" si="23"/>
        <v>17420.977225768729</v>
      </c>
    </row>
    <row r="1353" spans="1:25" ht="15">
      <c r="A1353">
        <v>2013</v>
      </c>
      <c r="B1353" t="s">
        <v>573</v>
      </c>
      <c r="C1353" t="s">
        <v>32</v>
      </c>
      <c r="D1353" t="s">
        <v>32</v>
      </c>
      <c r="E1353" t="s">
        <v>149</v>
      </c>
      <c r="F1353" t="s">
        <v>151</v>
      </c>
      <c r="G1353" t="s">
        <v>442</v>
      </c>
      <c r="H1353" t="s">
        <v>149</v>
      </c>
      <c r="I1353" t="s">
        <v>149</v>
      </c>
      <c r="J1353" t="s">
        <v>150</v>
      </c>
      <c r="K1353"/>
      <c r="L1353"/>
      <c r="M1353" s="12">
        <v>2230.2545725463228</v>
      </c>
      <c r="N1353" s="12">
        <v>1733.3545952704778</v>
      </c>
      <c r="O1353" s="12">
        <v>3178.3491040072422</v>
      </c>
      <c r="P1353" s="12">
        <v>3431.7817356845767</v>
      </c>
      <c r="Q1353" s="12">
        <v>2933.8751309338236</v>
      </c>
      <c r="R1353" s="12">
        <v>2859.9870096048221</v>
      </c>
      <c r="S1353" s="12">
        <v>8335.6207858748894</v>
      </c>
      <c r="T1353" s="12">
        <v>2859.0673347548745</v>
      </c>
      <c r="U1353" s="12">
        <v>2631.6355686921725</v>
      </c>
      <c r="V1353" s="12">
        <v>3062.5275212931115</v>
      </c>
      <c r="W1353" s="12">
        <v>3011.58</v>
      </c>
      <c r="X1353" s="12">
        <v>3011.58</v>
      </c>
      <c r="Y1353" s="12">
        <f t="shared" si="23"/>
        <v>39279.613358662311</v>
      </c>
    </row>
    <row r="1354" spans="1:25" ht="15">
      <c r="A1354">
        <v>2013</v>
      </c>
      <c r="B1354" t="s">
        <v>573</v>
      </c>
      <c r="C1354" t="s">
        <v>32</v>
      </c>
      <c r="D1354" t="s">
        <v>32</v>
      </c>
      <c r="E1354" t="s">
        <v>149</v>
      </c>
      <c r="F1354" t="s">
        <v>193</v>
      </c>
      <c r="G1354" t="s">
        <v>442</v>
      </c>
      <c r="H1354" t="s">
        <v>149</v>
      </c>
      <c r="I1354" t="s">
        <v>149</v>
      </c>
      <c r="J1354" t="s">
        <v>150</v>
      </c>
      <c r="K1354"/>
      <c r="L1354"/>
      <c r="M1354" s="12">
        <v>3481.4004461854465</v>
      </c>
      <c r="N1354" s="12">
        <v>2718.5813771772036</v>
      </c>
      <c r="O1354" s="12">
        <v>4986.4719506327374</v>
      </c>
      <c r="P1354" s="12">
        <v>5384.0792202812336</v>
      </c>
      <c r="Q1354" s="12">
        <v>5101.6799439743409</v>
      </c>
      <c r="R1354" s="12">
        <v>4486.9976632170328</v>
      </c>
      <c r="S1354" s="12">
        <v>4163.2948887197444</v>
      </c>
      <c r="T1354" s="12">
        <v>4485.5547969072304</v>
      </c>
      <c r="U1354" s="12">
        <v>4128.7399584350533</v>
      </c>
      <c r="V1354" s="12">
        <v>4804.933801562619</v>
      </c>
      <c r="W1354" s="12">
        <v>4724.83</v>
      </c>
      <c r="X1354" s="12">
        <v>4724.83</v>
      </c>
      <c r="Y1354" s="12">
        <f t="shared" si="23"/>
        <v>53191.394047092654</v>
      </c>
    </row>
    <row r="1355" spans="1:25" ht="15">
      <c r="A1355">
        <v>2013</v>
      </c>
      <c r="B1355" t="s">
        <v>573</v>
      </c>
      <c r="C1355" t="s">
        <v>32</v>
      </c>
      <c r="D1355" t="s">
        <v>32</v>
      </c>
      <c r="E1355" t="s">
        <v>149</v>
      </c>
      <c r="F1355" t="s">
        <v>8</v>
      </c>
      <c r="G1355" t="s">
        <v>439</v>
      </c>
      <c r="H1355" t="s">
        <v>149</v>
      </c>
      <c r="I1355" t="s">
        <v>149</v>
      </c>
      <c r="J1355" t="s">
        <v>150</v>
      </c>
      <c r="K1355"/>
      <c r="L1355"/>
      <c r="M1355" s="12">
        <v>374.46397725049582</v>
      </c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>
        <f t="shared" si="23"/>
        <v>374.46397725049582</v>
      </c>
    </row>
    <row r="1356" spans="1:25" ht="15">
      <c r="A1356">
        <v>2013</v>
      </c>
      <c r="B1356" t="s">
        <v>573</v>
      </c>
      <c r="C1356" t="s">
        <v>32</v>
      </c>
      <c r="D1356" t="s">
        <v>32</v>
      </c>
      <c r="E1356" t="s">
        <v>149</v>
      </c>
      <c r="F1356" t="s">
        <v>186</v>
      </c>
      <c r="G1356" t="s">
        <v>442</v>
      </c>
      <c r="H1356" t="s">
        <v>149</v>
      </c>
      <c r="I1356" t="s">
        <v>149</v>
      </c>
      <c r="J1356" t="s">
        <v>150</v>
      </c>
      <c r="K1356"/>
      <c r="L1356"/>
      <c r="M1356" s="12">
        <v>2710.4482482681988</v>
      </c>
      <c r="N1356" s="12">
        <v>2120.0791264862019</v>
      </c>
      <c r="O1356" s="12">
        <v>3896.817389603179</v>
      </c>
      <c r="P1356" s="12">
        <v>4207.5386646726784</v>
      </c>
      <c r="Q1356" s="12">
        <v>3597.0798848788681</v>
      </c>
      <c r="R1356" s="12">
        <v>3506.4892962877839</v>
      </c>
      <c r="S1356" s="12">
        <v>3348.4586061230589</v>
      </c>
      <c r="T1356" s="12">
        <v>3991.3950106533011</v>
      </c>
      <c r="U1356" s="12">
        <v>3673.8893663154186</v>
      </c>
      <c r="V1356" s="12">
        <v>5930.0204915170807</v>
      </c>
      <c r="W1356" s="12">
        <v>5831.37</v>
      </c>
      <c r="X1356" s="12">
        <v>1627.37</v>
      </c>
      <c r="Y1356" s="12">
        <f t="shared" si="23"/>
        <v>44440.956084805774</v>
      </c>
    </row>
    <row r="1357" spans="1:25" ht="15">
      <c r="A1357">
        <v>2013</v>
      </c>
      <c r="B1357" t="s">
        <v>573</v>
      </c>
      <c r="C1357" t="s">
        <v>32</v>
      </c>
      <c r="D1357" t="s">
        <v>32</v>
      </c>
      <c r="E1357" t="s">
        <v>149</v>
      </c>
      <c r="F1357" t="s">
        <v>208</v>
      </c>
      <c r="G1357" t="s">
        <v>245</v>
      </c>
      <c r="H1357" t="s">
        <v>149</v>
      </c>
      <c r="I1357" t="s">
        <v>149</v>
      </c>
      <c r="J1357" t="s">
        <v>150</v>
      </c>
      <c r="K1357"/>
      <c r="L1357"/>
      <c r="M1357" s="12"/>
      <c r="N1357" s="12"/>
      <c r="O1357" s="12"/>
      <c r="P1357" s="12"/>
      <c r="Q1357" s="12">
        <v>615.7515706898148</v>
      </c>
      <c r="R1357" s="12"/>
      <c r="S1357" s="12"/>
      <c r="T1357" s="12"/>
      <c r="U1357" s="12"/>
      <c r="V1357" s="12"/>
      <c r="W1357" s="12"/>
      <c r="X1357" s="12"/>
      <c r="Y1357" s="12">
        <f t="shared" si="23"/>
        <v>615.7515706898148</v>
      </c>
    </row>
    <row r="1358" spans="1:25" ht="15">
      <c r="A1358">
        <v>2013</v>
      </c>
      <c r="B1358" t="s">
        <v>573</v>
      </c>
      <c r="C1358" t="s">
        <v>32</v>
      </c>
      <c r="D1358" t="s">
        <v>32</v>
      </c>
      <c r="E1358" t="s">
        <v>149</v>
      </c>
      <c r="F1358" t="s">
        <v>208</v>
      </c>
      <c r="G1358" t="s">
        <v>439</v>
      </c>
      <c r="H1358" t="s">
        <v>149</v>
      </c>
      <c r="I1358" t="s">
        <v>149</v>
      </c>
      <c r="J1358" t="s">
        <v>150</v>
      </c>
      <c r="K1358"/>
      <c r="L1358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>
        <v>642.75268965410976</v>
      </c>
      <c r="W1358" s="12">
        <v>632.05999999999995</v>
      </c>
      <c r="X1358" s="12">
        <v>632.05999999999995</v>
      </c>
      <c r="Y1358" s="12">
        <f t="shared" si="23"/>
        <v>1906.8726896541098</v>
      </c>
    </row>
    <row r="1359" spans="1:25" ht="15">
      <c r="A1359">
        <v>2013</v>
      </c>
      <c r="B1359" t="s">
        <v>573</v>
      </c>
      <c r="C1359" t="s">
        <v>32</v>
      </c>
      <c r="D1359" t="s">
        <v>32</v>
      </c>
      <c r="E1359" t="s">
        <v>18</v>
      </c>
      <c r="F1359" t="s">
        <v>245</v>
      </c>
      <c r="G1359" t="s">
        <v>245</v>
      </c>
      <c r="H1359" t="s">
        <v>18</v>
      </c>
      <c r="I1359" t="s">
        <v>18</v>
      </c>
      <c r="J1359" t="s">
        <v>34</v>
      </c>
      <c r="K1359"/>
      <c r="L1359"/>
      <c r="M1359" s="12">
        <v>7270.7</v>
      </c>
      <c r="N1359" s="12">
        <v>7433</v>
      </c>
      <c r="O1359" s="12">
        <v>8124.65</v>
      </c>
      <c r="P1359" s="12">
        <v>8333</v>
      </c>
      <c r="Q1359" s="12">
        <v>8733</v>
      </c>
      <c r="R1359" s="12">
        <v>8733</v>
      </c>
      <c r="S1359" s="12">
        <v>8360.42</v>
      </c>
      <c r="T1359" s="12">
        <v>6037.84</v>
      </c>
      <c r="U1359" s="12">
        <v>9205</v>
      </c>
      <c r="V1359" s="12">
        <v>8635</v>
      </c>
      <c r="W1359" s="12">
        <v>7744</v>
      </c>
      <c r="X1359" s="12">
        <v>7744</v>
      </c>
      <c r="Y1359" s="12">
        <f t="shared" si="23"/>
        <v>96353.61</v>
      </c>
    </row>
    <row r="1360" spans="1:25" ht="15">
      <c r="A1360">
        <v>2013</v>
      </c>
      <c r="B1360" t="s">
        <v>573</v>
      </c>
      <c r="C1360" t="s">
        <v>32</v>
      </c>
      <c r="D1360" t="s">
        <v>32</v>
      </c>
      <c r="E1360" t="s">
        <v>18</v>
      </c>
      <c r="F1360" t="s">
        <v>245</v>
      </c>
      <c r="G1360" t="s">
        <v>245</v>
      </c>
      <c r="H1360" t="s">
        <v>18</v>
      </c>
      <c r="I1360" t="s">
        <v>18</v>
      </c>
      <c r="J1360" t="s">
        <v>43</v>
      </c>
      <c r="K1360"/>
      <c r="L1360"/>
      <c r="M1360" s="12">
        <v>27081.91</v>
      </c>
      <c r="N1360" s="12">
        <v>27708.400000000001</v>
      </c>
      <c r="O1360" s="12">
        <v>30674.81</v>
      </c>
      <c r="P1360" s="12">
        <v>33453.949999999997</v>
      </c>
      <c r="Q1360" s="12">
        <v>34208.730000000003</v>
      </c>
      <c r="R1360" s="12">
        <v>36474.51</v>
      </c>
      <c r="S1360" s="12">
        <v>38524.14</v>
      </c>
      <c r="T1360" s="12">
        <v>37696.800000000003</v>
      </c>
      <c r="U1360" s="12">
        <v>34484.29</v>
      </c>
      <c r="V1360" s="12">
        <v>37432.120000000003</v>
      </c>
      <c r="W1360" s="12">
        <v>40900</v>
      </c>
      <c r="X1360" s="12">
        <v>40900</v>
      </c>
      <c r="Y1360" s="12">
        <f t="shared" si="23"/>
        <v>419539.66</v>
      </c>
    </row>
    <row r="1361" spans="1:25" ht="15">
      <c r="A1361">
        <v>2013</v>
      </c>
      <c r="B1361" t="s">
        <v>573</v>
      </c>
      <c r="C1361" t="s">
        <v>32</v>
      </c>
      <c r="D1361" t="s">
        <v>32</v>
      </c>
      <c r="E1361" t="s">
        <v>18</v>
      </c>
      <c r="F1361" t="s">
        <v>245</v>
      </c>
      <c r="G1361" t="s">
        <v>245</v>
      </c>
      <c r="H1361" t="s">
        <v>18</v>
      </c>
      <c r="I1361" t="s">
        <v>18</v>
      </c>
      <c r="J1361" t="s">
        <v>295</v>
      </c>
      <c r="K1361"/>
      <c r="L1361"/>
      <c r="M1361" s="12"/>
      <c r="N1361" s="12">
        <v>24173</v>
      </c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>
        <f t="shared" si="23"/>
        <v>24173</v>
      </c>
    </row>
    <row r="1362" spans="1:25" ht="15">
      <c r="A1362">
        <v>2013</v>
      </c>
      <c r="B1362" t="s">
        <v>573</v>
      </c>
      <c r="C1362" t="s">
        <v>32</v>
      </c>
      <c r="D1362" t="s">
        <v>32</v>
      </c>
      <c r="E1362" t="s">
        <v>18</v>
      </c>
      <c r="F1362" t="s">
        <v>168</v>
      </c>
      <c r="G1362" t="s">
        <v>442</v>
      </c>
      <c r="H1362" t="s">
        <v>18</v>
      </c>
      <c r="I1362" t="s">
        <v>18</v>
      </c>
      <c r="J1362" t="s">
        <v>34</v>
      </c>
      <c r="K1362"/>
      <c r="L1362"/>
      <c r="M1362" s="12">
        <v>200</v>
      </c>
      <c r="N1362" s="12">
        <v>200</v>
      </c>
      <c r="O1362" s="12">
        <v>200</v>
      </c>
      <c r="P1362" s="12">
        <v>200</v>
      </c>
      <c r="Q1362" s="12">
        <v>200</v>
      </c>
      <c r="R1362" s="12">
        <v>200</v>
      </c>
      <c r="S1362" s="12">
        <v>200</v>
      </c>
      <c r="T1362" s="12">
        <v>200</v>
      </c>
      <c r="U1362" s="12"/>
      <c r="V1362" s="12"/>
      <c r="W1362" s="12"/>
      <c r="X1362" s="12"/>
      <c r="Y1362" s="12">
        <f t="shared" si="23"/>
        <v>1600</v>
      </c>
    </row>
    <row r="1363" spans="1:25" ht="15">
      <c r="A1363">
        <v>2013</v>
      </c>
      <c r="B1363" t="s">
        <v>573</v>
      </c>
      <c r="C1363" t="s">
        <v>32</v>
      </c>
      <c r="D1363" t="s">
        <v>32</v>
      </c>
      <c r="E1363" t="s">
        <v>18</v>
      </c>
      <c r="F1363" t="s">
        <v>168</v>
      </c>
      <c r="G1363" t="s">
        <v>442</v>
      </c>
      <c r="H1363" t="s">
        <v>18</v>
      </c>
      <c r="I1363" t="s">
        <v>18</v>
      </c>
      <c r="J1363" t="s">
        <v>43</v>
      </c>
      <c r="K1363"/>
      <c r="L1363"/>
      <c r="M1363" s="12">
        <v>1572.79</v>
      </c>
      <c r="N1363" s="12">
        <v>1613.01</v>
      </c>
      <c r="O1363" s="12">
        <v>1635.92</v>
      </c>
      <c r="P1363" s="12">
        <v>1635.48</v>
      </c>
      <c r="Q1363" s="12">
        <v>1587.59</v>
      </c>
      <c r="R1363" s="12">
        <v>1643.83</v>
      </c>
      <c r="S1363" s="12">
        <v>1578.31</v>
      </c>
      <c r="T1363" s="12">
        <v>855.26</v>
      </c>
      <c r="U1363" s="12"/>
      <c r="V1363" s="12"/>
      <c r="W1363" s="12">
        <v>1600</v>
      </c>
      <c r="X1363" s="12">
        <v>1600</v>
      </c>
      <c r="Y1363" s="12">
        <f t="shared" ref="Y1363:Y1426" si="24">SUM(M1363:X1363)</f>
        <v>15322.19</v>
      </c>
    </row>
    <row r="1364" spans="1:25" ht="15">
      <c r="A1364">
        <v>2013</v>
      </c>
      <c r="B1364" t="s">
        <v>573</v>
      </c>
      <c r="C1364" t="s">
        <v>32</v>
      </c>
      <c r="D1364" t="s">
        <v>32</v>
      </c>
      <c r="E1364" t="s">
        <v>18</v>
      </c>
      <c r="F1364" t="s">
        <v>168</v>
      </c>
      <c r="G1364" t="s">
        <v>442</v>
      </c>
      <c r="H1364" t="s">
        <v>18</v>
      </c>
      <c r="I1364" t="s">
        <v>18</v>
      </c>
      <c r="J1364" t="s">
        <v>44</v>
      </c>
      <c r="K1364"/>
      <c r="L1364"/>
      <c r="M1364" s="12"/>
      <c r="N1364" s="12"/>
      <c r="O1364" s="12"/>
      <c r="P1364" s="12"/>
      <c r="Q1364" s="12"/>
      <c r="R1364" s="12"/>
      <c r="S1364" s="12">
        <v>8499</v>
      </c>
      <c r="T1364" s="12"/>
      <c r="U1364" s="12"/>
      <c r="V1364" s="12"/>
      <c r="W1364" s="12">
        <v>7751</v>
      </c>
      <c r="X1364" s="12">
        <v>7353</v>
      </c>
      <c r="Y1364" s="12">
        <f t="shared" si="24"/>
        <v>23603</v>
      </c>
    </row>
    <row r="1365" spans="1:25" ht="15">
      <c r="A1365">
        <v>2013</v>
      </c>
      <c r="B1365" t="s">
        <v>573</v>
      </c>
      <c r="C1365" t="s">
        <v>32</v>
      </c>
      <c r="D1365" t="s">
        <v>32</v>
      </c>
      <c r="E1365" t="s">
        <v>18</v>
      </c>
      <c r="F1365" t="s">
        <v>59</v>
      </c>
      <c r="G1365" t="s">
        <v>442</v>
      </c>
      <c r="H1365" t="s">
        <v>18</v>
      </c>
      <c r="I1365" t="s">
        <v>18</v>
      </c>
      <c r="J1365" t="s">
        <v>43</v>
      </c>
      <c r="K1365"/>
      <c r="L1365"/>
      <c r="M1365" s="12">
        <v>2368</v>
      </c>
      <c r="N1365" s="12">
        <v>2368</v>
      </c>
      <c r="O1365" s="12">
        <v>2368</v>
      </c>
      <c r="P1365" s="12">
        <v>2368</v>
      </c>
      <c r="Q1365" s="12">
        <v>2368</v>
      </c>
      <c r="R1365" s="12">
        <v>2368</v>
      </c>
      <c r="S1365" s="12">
        <v>3368</v>
      </c>
      <c r="T1365" s="12">
        <v>2368</v>
      </c>
      <c r="U1365" s="12">
        <v>3000</v>
      </c>
      <c r="V1365" s="12">
        <v>3000</v>
      </c>
      <c r="W1365" s="12">
        <v>3000</v>
      </c>
      <c r="X1365" s="12">
        <v>3000</v>
      </c>
      <c r="Y1365" s="12">
        <f t="shared" si="24"/>
        <v>31944</v>
      </c>
    </row>
    <row r="1366" spans="1:25" ht="15">
      <c r="A1366">
        <v>2013</v>
      </c>
      <c r="B1366" t="s">
        <v>573</v>
      </c>
      <c r="C1366" t="s">
        <v>32</v>
      </c>
      <c r="D1366" t="s">
        <v>32</v>
      </c>
      <c r="E1366" t="s">
        <v>18</v>
      </c>
      <c r="F1366" t="s">
        <v>59</v>
      </c>
      <c r="G1366" t="s">
        <v>442</v>
      </c>
      <c r="H1366" t="s">
        <v>18</v>
      </c>
      <c r="I1366" t="s">
        <v>18</v>
      </c>
      <c r="J1366" t="s">
        <v>44</v>
      </c>
      <c r="K1366"/>
      <c r="L1366"/>
      <c r="M1366" s="12">
        <v>4375.09</v>
      </c>
      <c r="N1366" s="12">
        <v>4617</v>
      </c>
      <c r="O1366" s="12">
        <v>5287.4</v>
      </c>
      <c r="P1366" s="12">
        <v>5085</v>
      </c>
      <c r="Q1366" s="12">
        <v>5108</v>
      </c>
      <c r="R1366" s="12">
        <v>5352</v>
      </c>
      <c r="S1366" s="12">
        <v>5687</v>
      </c>
      <c r="T1366" s="12">
        <v>5296</v>
      </c>
      <c r="U1366" s="12">
        <v>5212</v>
      </c>
      <c r="V1366" s="12">
        <v>5441</v>
      </c>
      <c r="W1366" s="12">
        <v>5748</v>
      </c>
      <c r="X1366" s="12">
        <v>5748</v>
      </c>
      <c r="Y1366" s="12">
        <f t="shared" si="24"/>
        <v>62956.49</v>
      </c>
    </row>
    <row r="1367" spans="1:25" ht="15">
      <c r="A1367">
        <v>2013</v>
      </c>
      <c r="B1367" t="s">
        <v>573</v>
      </c>
      <c r="C1367" t="s">
        <v>32</v>
      </c>
      <c r="D1367" t="s">
        <v>32</v>
      </c>
      <c r="E1367" t="s">
        <v>18</v>
      </c>
      <c r="F1367" t="s">
        <v>66</v>
      </c>
      <c r="G1367" t="s">
        <v>442</v>
      </c>
      <c r="H1367" t="s">
        <v>18</v>
      </c>
      <c r="I1367" t="s">
        <v>18</v>
      </c>
      <c r="J1367" t="s">
        <v>34</v>
      </c>
      <c r="K1367"/>
      <c r="L1367"/>
      <c r="M1367" s="12">
        <v>600</v>
      </c>
      <c r="N1367" s="12">
        <v>600</v>
      </c>
      <c r="O1367" s="12">
        <v>600</v>
      </c>
      <c r="P1367" s="12">
        <v>600</v>
      </c>
      <c r="Q1367" s="12">
        <v>600</v>
      </c>
      <c r="R1367" s="12">
        <v>600</v>
      </c>
      <c r="S1367" s="12">
        <v>600</v>
      </c>
      <c r="T1367" s="12">
        <v>600</v>
      </c>
      <c r="U1367" s="12">
        <v>600</v>
      </c>
      <c r="V1367" s="12">
        <v>1200</v>
      </c>
      <c r="W1367" s="12">
        <v>1200</v>
      </c>
      <c r="X1367" s="12">
        <v>1200</v>
      </c>
      <c r="Y1367" s="12">
        <f t="shared" si="24"/>
        <v>9000</v>
      </c>
    </row>
    <row r="1368" spans="1:25" ht="15">
      <c r="A1368">
        <v>2013</v>
      </c>
      <c r="B1368" t="s">
        <v>573</v>
      </c>
      <c r="C1368" t="s">
        <v>32</v>
      </c>
      <c r="D1368" t="s">
        <v>32</v>
      </c>
      <c r="E1368" t="s">
        <v>18</v>
      </c>
      <c r="F1368" t="s">
        <v>66</v>
      </c>
      <c r="G1368" t="s">
        <v>442</v>
      </c>
      <c r="H1368" t="s">
        <v>18</v>
      </c>
      <c r="I1368" t="s">
        <v>18</v>
      </c>
      <c r="J1368" t="s">
        <v>43</v>
      </c>
      <c r="K1368"/>
      <c r="L1368"/>
      <c r="M1368" s="12">
        <v>3957.33</v>
      </c>
      <c r="N1368" s="12">
        <v>3972.56</v>
      </c>
      <c r="O1368" s="12">
        <v>3889.46</v>
      </c>
      <c r="P1368" s="12">
        <v>4902.8100000000004</v>
      </c>
      <c r="Q1368" s="12">
        <v>7125.63</v>
      </c>
      <c r="R1368" s="12">
        <v>5109.63</v>
      </c>
      <c r="S1368" s="12">
        <v>7293.57</v>
      </c>
      <c r="T1368" s="12">
        <v>7751.24</v>
      </c>
      <c r="U1368" s="12">
        <v>9154.75</v>
      </c>
      <c r="V1368" s="12">
        <v>7661.21</v>
      </c>
      <c r="W1368" s="12">
        <v>7525</v>
      </c>
      <c r="X1368" s="12">
        <v>8225</v>
      </c>
      <c r="Y1368" s="12">
        <f t="shared" si="24"/>
        <v>76568.19</v>
      </c>
    </row>
    <row r="1369" spans="1:25" ht="15">
      <c r="A1369">
        <v>2013</v>
      </c>
      <c r="B1369" t="s">
        <v>573</v>
      </c>
      <c r="C1369" t="s">
        <v>32</v>
      </c>
      <c r="D1369" t="s">
        <v>32</v>
      </c>
      <c r="E1369" t="s">
        <v>18</v>
      </c>
      <c r="F1369" t="s">
        <v>66</v>
      </c>
      <c r="G1369" t="s">
        <v>442</v>
      </c>
      <c r="H1369" t="s">
        <v>18</v>
      </c>
      <c r="I1369" t="s">
        <v>18</v>
      </c>
      <c r="J1369" t="s">
        <v>44</v>
      </c>
      <c r="K1369"/>
      <c r="L1369"/>
      <c r="M1369" s="12">
        <v>8720</v>
      </c>
      <c r="N1369" s="12">
        <v>8950</v>
      </c>
      <c r="O1369" s="12">
        <v>10590</v>
      </c>
      <c r="P1369" s="12">
        <v>10810</v>
      </c>
      <c r="Q1369" s="12">
        <v>10930</v>
      </c>
      <c r="R1369" s="12">
        <v>11390</v>
      </c>
      <c r="S1369" s="12">
        <v>11970</v>
      </c>
      <c r="T1369" s="12">
        <v>12420</v>
      </c>
      <c r="U1369" s="12">
        <v>12500</v>
      </c>
      <c r="V1369" s="12">
        <v>12270</v>
      </c>
      <c r="W1369" s="12">
        <v>12270</v>
      </c>
      <c r="X1369" s="12">
        <v>12600</v>
      </c>
      <c r="Y1369" s="12">
        <f t="shared" si="24"/>
        <v>135420</v>
      </c>
    </row>
    <row r="1370" spans="1:25" ht="15">
      <c r="A1370">
        <v>2013</v>
      </c>
      <c r="B1370" t="s">
        <v>573</v>
      </c>
      <c r="C1370" t="s">
        <v>32</v>
      </c>
      <c r="D1370" t="s">
        <v>32</v>
      </c>
      <c r="E1370" t="s">
        <v>18</v>
      </c>
      <c r="F1370" t="s">
        <v>130</v>
      </c>
      <c r="G1370" t="s">
        <v>442</v>
      </c>
      <c r="H1370" t="s">
        <v>18</v>
      </c>
      <c r="I1370" t="s">
        <v>18</v>
      </c>
      <c r="J1370" t="s">
        <v>34</v>
      </c>
      <c r="K1370"/>
      <c r="L1370"/>
      <c r="M1370" s="12">
        <v>800</v>
      </c>
      <c r="N1370" s="12">
        <v>200</v>
      </c>
      <c r="O1370" s="12">
        <v>200</v>
      </c>
      <c r="P1370" s="12">
        <v>200</v>
      </c>
      <c r="Q1370" s="12">
        <v>200</v>
      </c>
      <c r="R1370" s="12">
        <v>200</v>
      </c>
      <c r="S1370" s="12">
        <v>200</v>
      </c>
      <c r="T1370" s="12">
        <v>200</v>
      </c>
      <c r="U1370" s="12">
        <v>366.68</v>
      </c>
      <c r="V1370" s="12"/>
      <c r="W1370" s="12"/>
      <c r="X1370" s="12"/>
      <c r="Y1370" s="12">
        <f t="shared" si="24"/>
        <v>2566.6799999999998</v>
      </c>
    </row>
    <row r="1371" spans="1:25" ht="15">
      <c r="A1371">
        <v>2013</v>
      </c>
      <c r="B1371" t="s">
        <v>573</v>
      </c>
      <c r="C1371" t="s">
        <v>32</v>
      </c>
      <c r="D1371" t="s">
        <v>32</v>
      </c>
      <c r="E1371" t="s">
        <v>18</v>
      </c>
      <c r="F1371" t="s">
        <v>130</v>
      </c>
      <c r="G1371" t="s">
        <v>442</v>
      </c>
      <c r="H1371" t="s">
        <v>18</v>
      </c>
      <c r="I1371" t="s">
        <v>18</v>
      </c>
      <c r="J1371" t="s">
        <v>43</v>
      </c>
      <c r="K1371"/>
      <c r="L1371"/>
      <c r="M1371" s="12">
        <v>6355.02</v>
      </c>
      <c r="N1371" s="12">
        <v>6469.38</v>
      </c>
      <c r="O1371" s="12">
        <v>7278.79</v>
      </c>
      <c r="P1371" s="12">
        <v>7264.7</v>
      </c>
      <c r="Q1371" s="12">
        <v>6876.65</v>
      </c>
      <c r="R1371" s="12">
        <v>6485.62</v>
      </c>
      <c r="S1371" s="12">
        <v>6485.62</v>
      </c>
      <c r="T1371" s="12">
        <v>4085.61</v>
      </c>
      <c r="U1371" s="12">
        <v>5036.12</v>
      </c>
      <c r="V1371" s="12"/>
      <c r="W1371" s="12"/>
      <c r="X1371" s="12"/>
      <c r="Y1371" s="12">
        <f t="shared" si="24"/>
        <v>56337.510000000009</v>
      </c>
    </row>
    <row r="1372" spans="1:25" ht="15">
      <c r="A1372">
        <v>2013</v>
      </c>
      <c r="B1372" t="s">
        <v>573</v>
      </c>
      <c r="C1372" t="s">
        <v>32</v>
      </c>
      <c r="D1372" t="s">
        <v>32</v>
      </c>
      <c r="E1372" t="s">
        <v>18</v>
      </c>
      <c r="F1372" t="s">
        <v>130</v>
      </c>
      <c r="G1372" t="s">
        <v>442</v>
      </c>
      <c r="H1372" t="s">
        <v>18</v>
      </c>
      <c r="I1372" t="s">
        <v>18</v>
      </c>
      <c r="J1372" t="s">
        <v>44</v>
      </c>
      <c r="K1372"/>
      <c r="L1372"/>
      <c r="M1372" s="12">
        <v>2280</v>
      </c>
      <c r="N1372" s="12">
        <v>3080</v>
      </c>
      <c r="O1372" s="12">
        <v>3080</v>
      </c>
      <c r="P1372" s="12">
        <v>3080</v>
      </c>
      <c r="Q1372" s="12">
        <v>3380</v>
      </c>
      <c r="R1372" s="12">
        <v>3430</v>
      </c>
      <c r="S1372" s="12">
        <v>3430</v>
      </c>
      <c r="T1372" s="12">
        <v>5830</v>
      </c>
      <c r="U1372" s="12">
        <v>5830</v>
      </c>
      <c r="V1372" s="12"/>
      <c r="W1372" s="12"/>
      <c r="X1372" s="12"/>
      <c r="Y1372" s="12">
        <f t="shared" si="24"/>
        <v>33420</v>
      </c>
    </row>
    <row r="1373" spans="1:25" ht="15">
      <c r="A1373">
        <v>2013</v>
      </c>
      <c r="B1373" t="s">
        <v>573</v>
      </c>
      <c r="C1373" t="s">
        <v>32</v>
      </c>
      <c r="D1373" t="s">
        <v>32</v>
      </c>
      <c r="E1373" t="s">
        <v>18</v>
      </c>
      <c r="F1373" t="s">
        <v>130</v>
      </c>
      <c r="G1373" t="s">
        <v>439</v>
      </c>
      <c r="H1373" t="s">
        <v>18</v>
      </c>
      <c r="I1373" t="s">
        <v>18</v>
      </c>
      <c r="J1373" t="s">
        <v>34</v>
      </c>
      <c r="K1373"/>
      <c r="L1373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>
        <v>400</v>
      </c>
      <c r="W1373" s="12"/>
      <c r="X1373" s="12"/>
      <c r="Y1373" s="12">
        <f t="shared" si="24"/>
        <v>400</v>
      </c>
    </row>
    <row r="1374" spans="1:25" ht="15">
      <c r="A1374">
        <v>2013</v>
      </c>
      <c r="B1374" t="s">
        <v>573</v>
      </c>
      <c r="C1374" t="s">
        <v>32</v>
      </c>
      <c r="D1374" t="s">
        <v>32</v>
      </c>
      <c r="E1374" t="s">
        <v>18</v>
      </c>
      <c r="F1374" t="s">
        <v>130</v>
      </c>
      <c r="G1374" t="s">
        <v>439</v>
      </c>
      <c r="H1374" t="s">
        <v>18</v>
      </c>
      <c r="I1374" t="s">
        <v>18</v>
      </c>
      <c r="J1374" t="s">
        <v>43</v>
      </c>
      <c r="K1374"/>
      <c r="L1374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>
        <v>5060.8</v>
      </c>
      <c r="W1374" s="12"/>
      <c r="X1374" s="12"/>
      <c r="Y1374" s="12">
        <f t="shared" si="24"/>
        <v>5060.8</v>
      </c>
    </row>
    <row r="1375" spans="1:25" ht="15">
      <c r="A1375">
        <v>2013</v>
      </c>
      <c r="B1375" t="s">
        <v>573</v>
      </c>
      <c r="C1375" t="s">
        <v>32</v>
      </c>
      <c r="D1375" t="s">
        <v>32</v>
      </c>
      <c r="E1375" t="s">
        <v>18</v>
      </c>
      <c r="F1375" t="s">
        <v>130</v>
      </c>
      <c r="G1375" t="s">
        <v>439</v>
      </c>
      <c r="H1375" t="s">
        <v>18</v>
      </c>
      <c r="I1375" t="s">
        <v>18</v>
      </c>
      <c r="J1375" t="s">
        <v>44</v>
      </c>
      <c r="K1375"/>
      <c r="L1375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>
        <v>5830</v>
      </c>
      <c r="W1375" s="12"/>
      <c r="X1375" s="12"/>
      <c r="Y1375" s="12">
        <f t="shared" si="24"/>
        <v>5830</v>
      </c>
    </row>
    <row r="1376" spans="1:25" ht="15">
      <c r="A1376">
        <v>2013</v>
      </c>
      <c r="B1376" t="s">
        <v>573</v>
      </c>
      <c r="C1376" t="s">
        <v>32</v>
      </c>
      <c r="D1376" t="s">
        <v>32</v>
      </c>
      <c r="E1376" t="s">
        <v>18</v>
      </c>
      <c r="F1376" t="s">
        <v>33</v>
      </c>
      <c r="G1376" t="s">
        <v>442</v>
      </c>
      <c r="H1376" t="s">
        <v>18</v>
      </c>
      <c r="I1376" t="s">
        <v>18</v>
      </c>
      <c r="J1376" t="s">
        <v>34</v>
      </c>
      <c r="K1376"/>
      <c r="L1376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>
        <v>400</v>
      </c>
      <c r="X1376" s="12">
        <v>400</v>
      </c>
      <c r="Y1376" s="12">
        <f t="shared" si="24"/>
        <v>800</v>
      </c>
    </row>
    <row r="1377" spans="1:25" ht="15">
      <c r="A1377">
        <v>2013</v>
      </c>
      <c r="B1377" t="s">
        <v>573</v>
      </c>
      <c r="C1377" t="s">
        <v>32</v>
      </c>
      <c r="D1377" t="s">
        <v>32</v>
      </c>
      <c r="E1377" t="s">
        <v>18</v>
      </c>
      <c r="F1377" t="s">
        <v>33</v>
      </c>
      <c r="G1377" t="s">
        <v>442</v>
      </c>
      <c r="H1377" t="s">
        <v>18</v>
      </c>
      <c r="I1377" t="s">
        <v>18</v>
      </c>
      <c r="J1377" t="s">
        <v>43</v>
      </c>
      <c r="K1377"/>
      <c r="L1377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>
        <v>3500</v>
      </c>
      <c r="X1377" s="12">
        <v>3500</v>
      </c>
      <c r="Y1377" s="12">
        <f t="shared" si="24"/>
        <v>7000</v>
      </c>
    </row>
    <row r="1378" spans="1:25" ht="15">
      <c r="A1378">
        <v>2013</v>
      </c>
      <c r="B1378" t="s">
        <v>573</v>
      </c>
      <c r="C1378" t="s">
        <v>32</v>
      </c>
      <c r="D1378" t="s">
        <v>32</v>
      </c>
      <c r="E1378" t="s">
        <v>18</v>
      </c>
      <c r="F1378" t="s">
        <v>33</v>
      </c>
      <c r="G1378" t="s">
        <v>442</v>
      </c>
      <c r="H1378" t="s">
        <v>18</v>
      </c>
      <c r="I1378" t="s">
        <v>18</v>
      </c>
      <c r="J1378" t="s">
        <v>44</v>
      </c>
      <c r="K1378"/>
      <c r="L1378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>
        <v>6680</v>
      </c>
      <c r="X1378" s="12">
        <v>6680</v>
      </c>
      <c r="Y1378" s="12">
        <f t="shared" si="24"/>
        <v>13360</v>
      </c>
    </row>
    <row r="1379" spans="1:25" ht="15">
      <c r="A1379">
        <v>2013</v>
      </c>
      <c r="B1379" t="s">
        <v>573</v>
      </c>
      <c r="C1379" t="s">
        <v>32</v>
      </c>
      <c r="D1379" t="s">
        <v>32</v>
      </c>
      <c r="E1379" t="s">
        <v>18</v>
      </c>
      <c r="F1379" t="s">
        <v>151</v>
      </c>
      <c r="G1379" t="s">
        <v>442</v>
      </c>
      <c r="H1379" t="s">
        <v>18</v>
      </c>
      <c r="I1379" t="s">
        <v>18</v>
      </c>
      <c r="J1379" t="s">
        <v>34</v>
      </c>
      <c r="K1379"/>
      <c r="L1379"/>
      <c r="M1379" s="12">
        <v>1200</v>
      </c>
      <c r="N1379" s="12">
        <v>1496.77</v>
      </c>
      <c r="O1379" s="12">
        <v>1400</v>
      </c>
      <c r="P1379" s="12">
        <v>1520</v>
      </c>
      <c r="Q1379" s="12">
        <v>1509.68</v>
      </c>
      <c r="R1379" s="12">
        <v>1400</v>
      </c>
      <c r="S1379" s="12">
        <v>1200</v>
      </c>
      <c r="T1379" s="12">
        <v>1200</v>
      </c>
      <c r="U1379" s="12">
        <v>1200</v>
      </c>
      <c r="V1379" s="12">
        <v>600</v>
      </c>
      <c r="W1379" s="12">
        <v>800</v>
      </c>
      <c r="X1379" s="12">
        <v>800</v>
      </c>
      <c r="Y1379" s="12">
        <f t="shared" si="24"/>
        <v>14326.45</v>
      </c>
    </row>
    <row r="1380" spans="1:25" ht="15">
      <c r="A1380">
        <v>2013</v>
      </c>
      <c r="B1380" t="s">
        <v>573</v>
      </c>
      <c r="C1380" t="s">
        <v>32</v>
      </c>
      <c r="D1380" t="s">
        <v>32</v>
      </c>
      <c r="E1380" t="s">
        <v>18</v>
      </c>
      <c r="F1380" t="s">
        <v>151</v>
      </c>
      <c r="G1380" t="s">
        <v>442</v>
      </c>
      <c r="H1380" t="s">
        <v>18</v>
      </c>
      <c r="I1380" t="s">
        <v>18</v>
      </c>
      <c r="J1380" t="s">
        <v>43</v>
      </c>
      <c r="K1380"/>
      <c r="L1380"/>
      <c r="M1380" s="12">
        <v>9251.5499999999993</v>
      </c>
      <c r="N1380" s="12">
        <v>10119.18</v>
      </c>
      <c r="O1380" s="12">
        <v>10692.76</v>
      </c>
      <c r="P1380" s="12">
        <v>9740.14</v>
      </c>
      <c r="Q1380" s="12">
        <v>10070.11</v>
      </c>
      <c r="R1380" s="12">
        <v>8433.74</v>
      </c>
      <c r="S1380" s="12">
        <v>7172.87</v>
      </c>
      <c r="T1380" s="12">
        <v>9053.0499999999993</v>
      </c>
      <c r="U1380" s="12">
        <v>7034.57</v>
      </c>
      <c r="V1380" s="12">
        <v>13386.74</v>
      </c>
      <c r="W1380" s="12">
        <v>9000</v>
      </c>
      <c r="X1380" s="12">
        <v>9000</v>
      </c>
      <c r="Y1380" s="12">
        <f t="shared" si="24"/>
        <v>112954.71</v>
      </c>
    </row>
    <row r="1381" spans="1:25" ht="15">
      <c r="A1381">
        <v>2013</v>
      </c>
      <c r="B1381" t="s">
        <v>573</v>
      </c>
      <c r="C1381" t="s">
        <v>32</v>
      </c>
      <c r="D1381" t="s">
        <v>32</v>
      </c>
      <c r="E1381" t="s">
        <v>18</v>
      </c>
      <c r="F1381" t="s">
        <v>151</v>
      </c>
      <c r="G1381" t="s">
        <v>442</v>
      </c>
      <c r="H1381" t="s">
        <v>18</v>
      </c>
      <c r="I1381" t="s">
        <v>18</v>
      </c>
      <c r="J1381" t="s">
        <v>44</v>
      </c>
      <c r="K1381"/>
      <c r="L1381"/>
      <c r="M1381" s="12">
        <v>3000</v>
      </c>
      <c r="N1381" s="12">
        <v>3000</v>
      </c>
      <c r="O1381" s="12">
        <v>3000</v>
      </c>
      <c r="P1381" s="12">
        <v>3000</v>
      </c>
      <c r="Q1381" s="12">
        <v>3000</v>
      </c>
      <c r="R1381" s="12">
        <v>3500</v>
      </c>
      <c r="S1381" s="12">
        <v>3500</v>
      </c>
      <c r="T1381" s="12">
        <v>500</v>
      </c>
      <c r="U1381" s="12">
        <v>500</v>
      </c>
      <c r="V1381" s="12"/>
      <c r="W1381" s="12">
        <v>500</v>
      </c>
      <c r="X1381" s="12">
        <v>500</v>
      </c>
      <c r="Y1381" s="12">
        <f t="shared" si="24"/>
        <v>24000</v>
      </c>
    </row>
    <row r="1382" spans="1:25" ht="15">
      <c r="A1382">
        <v>2013</v>
      </c>
      <c r="B1382" t="s">
        <v>573</v>
      </c>
      <c r="C1382" t="s">
        <v>32</v>
      </c>
      <c r="D1382" t="s">
        <v>32</v>
      </c>
      <c r="E1382" t="s">
        <v>18</v>
      </c>
      <c r="F1382" t="s">
        <v>193</v>
      </c>
      <c r="G1382" t="s">
        <v>442</v>
      </c>
      <c r="H1382" t="s">
        <v>18</v>
      </c>
      <c r="I1382" t="s">
        <v>18</v>
      </c>
      <c r="J1382" t="s">
        <v>34</v>
      </c>
      <c r="K1382"/>
      <c r="L1382"/>
      <c r="M1382" s="12">
        <v>200</v>
      </c>
      <c r="N1382" s="12">
        <v>600</v>
      </c>
      <c r="O1382" s="12">
        <v>400</v>
      </c>
      <c r="P1382" s="12">
        <v>400</v>
      </c>
      <c r="Q1382" s="12">
        <v>400</v>
      </c>
      <c r="R1382" s="12">
        <v>400</v>
      </c>
      <c r="S1382" s="12">
        <v>400</v>
      </c>
      <c r="T1382" s="12">
        <v>400</v>
      </c>
      <c r="U1382" s="12">
        <v>400</v>
      </c>
      <c r="V1382" s="12">
        <v>400</v>
      </c>
      <c r="W1382" s="12"/>
      <c r="X1382" s="12"/>
      <c r="Y1382" s="12">
        <f t="shared" si="24"/>
        <v>4000</v>
      </c>
    </row>
    <row r="1383" spans="1:25" ht="15">
      <c r="A1383">
        <v>2013</v>
      </c>
      <c r="B1383" t="s">
        <v>573</v>
      </c>
      <c r="C1383" t="s">
        <v>32</v>
      </c>
      <c r="D1383" t="s">
        <v>32</v>
      </c>
      <c r="E1383" t="s">
        <v>18</v>
      </c>
      <c r="F1383" t="s">
        <v>193</v>
      </c>
      <c r="G1383" t="s">
        <v>442</v>
      </c>
      <c r="H1383" t="s">
        <v>18</v>
      </c>
      <c r="I1383" t="s">
        <v>18</v>
      </c>
      <c r="J1383" t="s">
        <v>43</v>
      </c>
      <c r="K1383"/>
      <c r="L1383"/>
      <c r="M1383" s="12">
        <v>2348.7800000000002</v>
      </c>
      <c r="N1383" s="12">
        <v>2341.89</v>
      </c>
      <c r="O1383" s="12">
        <v>2323.79</v>
      </c>
      <c r="P1383" s="12">
        <v>2357.7800000000002</v>
      </c>
      <c r="Q1383" s="12">
        <v>2330.2800000000002</v>
      </c>
      <c r="R1383" s="12">
        <v>2361</v>
      </c>
      <c r="S1383" s="12">
        <v>3758.11</v>
      </c>
      <c r="T1383" s="12">
        <v>2373.9699999999998</v>
      </c>
      <c r="U1383" s="12">
        <v>3689.49</v>
      </c>
      <c r="V1383" s="12">
        <v>3582.52</v>
      </c>
      <c r="W1383" s="12">
        <v>2400</v>
      </c>
      <c r="X1383" s="12">
        <v>2400</v>
      </c>
      <c r="Y1383" s="12">
        <f t="shared" si="24"/>
        <v>32267.610000000004</v>
      </c>
    </row>
    <row r="1384" spans="1:25" ht="15">
      <c r="A1384">
        <v>2013</v>
      </c>
      <c r="B1384" t="s">
        <v>573</v>
      </c>
      <c r="C1384" t="s">
        <v>32</v>
      </c>
      <c r="D1384" t="s">
        <v>32</v>
      </c>
      <c r="E1384" t="s">
        <v>18</v>
      </c>
      <c r="F1384" t="s">
        <v>193</v>
      </c>
      <c r="G1384" t="s">
        <v>442</v>
      </c>
      <c r="H1384" t="s">
        <v>18</v>
      </c>
      <c r="I1384" t="s">
        <v>18</v>
      </c>
      <c r="J1384" t="s">
        <v>44</v>
      </c>
      <c r="K1384"/>
      <c r="L1384"/>
      <c r="M1384" s="12"/>
      <c r="N1384" s="12"/>
      <c r="O1384" s="12"/>
      <c r="P1384" s="12"/>
      <c r="Q1384" s="12"/>
      <c r="R1384" s="12"/>
      <c r="S1384" s="12"/>
      <c r="T1384" s="12">
        <v>3000</v>
      </c>
      <c r="U1384" s="12">
        <v>3000</v>
      </c>
      <c r="V1384" s="12">
        <v>3000</v>
      </c>
      <c r="W1384" s="12">
        <v>3000</v>
      </c>
      <c r="X1384" s="12">
        <v>3000</v>
      </c>
      <c r="Y1384" s="12">
        <f t="shared" si="24"/>
        <v>15000</v>
      </c>
    </row>
    <row r="1385" spans="1:25" ht="15">
      <c r="A1385">
        <v>2013</v>
      </c>
      <c r="B1385" t="s">
        <v>573</v>
      </c>
      <c r="C1385" t="s">
        <v>32</v>
      </c>
      <c r="D1385" t="s">
        <v>32</v>
      </c>
      <c r="E1385" t="s">
        <v>18</v>
      </c>
      <c r="F1385" t="s">
        <v>186</v>
      </c>
      <c r="G1385" t="s">
        <v>442</v>
      </c>
      <c r="H1385" t="s">
        <v>18</v>
      </c>
      <c r="I1385" t="s">
        <v>18</v>
      </c>
      <c r="J1385" t="s">
        <v>34</v>
      </c>
      <c r="K1385"/>
      <c r="L1385"/>
      <c r="M1385" s="12">
        <v>200</v>
      </c>
      <c r="N1385" s="12">
        <v>200</v>
      </c>
      <c r="O1385" s="12">
        <v>200</v>
      </c>
      <c r="P1385" s="12">
        <v>200</v>
      </c>
      <c r="Q1385" s="12">
        <v>200</v>
      </c>
      <c r="R1385" s="12">
        <v>200</v>
      </c>
      <c r="S1385" s="12">
        <v>200</v>
      </c>
      <c r="T1385" s="12">
        <v>200</v>
      </c>
      <c r="U1385" s="12">
        <v>200</v>
      </c>
      <c r="V1385" s="12">
        <v>200</v>
      </c>
      <c r="W1385" s="12"/>
      <c r="X1385" s="12"/>
      <c r="Y1385" s="12">
        <f t="shared" si="24"/>
        <v>2000</v>
      </c>
    </row>
    <row r="1386" spans="1:25" ht="15">
      <c r="A1386">
        <v>2013</v>
      </c>
      <c r="B1386" t="s">
        <v>573</v>
      </c>
      <c r="C1386" t="s">
        <v>32</v>
      </c>
      <c r="D1386" t="s">
        <v>32</v>
      </c>
      <c r="E1386" t="s">
        <v>18</v>
      </c>
      <c r="F1386" t="s">
        <v>186</v>
      </c>
      <c r="G1386" t="s">
        <v>442</v>
      </c>
      <c r="H1386" t="s">
        <v>18</v>
      </c>
      <c r="I1386" t="s">
        <v>18</v>
      </c>
      <c r="J1386" t="s">
        <v>43</v>
      </c>
      <c r="K1386"/>
      <c r="L1386"/>
      <c r="M1386" s="12">
        <v>1276.1099999999999</v>
      </c>
      <c r="N1386" s="12">
        <v>1276.1600000000001</v>
      </c>
      <c r="O1386" s="12">
        <v>1288.22</v>
      </c>
      <c r="P1386" s="12">
        <v>1281</v>
      </c>
      <c r="Q1386" s="12">
        <v>1220.57</v>
      </c>
      <c r="R1386" s="12">
        <v>1291.4100000000001</v>
      </c>
      <c r="S1386" s="12">
        <v>1312.89</v>
      </c>
      <c r="T1386" s="12">
        <v>1653.18</v>
      </c>
      <c r="U1386" s="12">
        <v>1643.01</v>
      </c>
      <c r="V1386" s="12">
        <v>1647.65</v>
      </c>
      <c r="W1386" s="12">
        <v>1300</v>
      </c>
      <c r="X1386" s="12">
        <v>1300</v>
      </c>
      <c r="Y1386" s="12">
        <f t="shared" si="24"/>
        <v>16490.199999999997</v>
      </c>
    </row>
    <row r="1387" spans="1:25" ht="15">
      <c r="A1387">
        <v>2013</v>
      </c>
      <c r="B1387" t="s">
        <v>573</v>
      </c>
      <c r="C1387" t="s">
        <v>32</v>
      </c>
      <c r="D1387" t="s">
        <v>32</v>
      </c>
      <c r="E1387" t="s">
        <v>18</v>
      </c>
      <c r="F1387" t="s">
        <v>186</v>
      </c>
      <c r="G1387" t="s">
        <v>442</v>
      </c>
      <c r="H1387" t="s">
        <v>18</v>
      </c>
      <c r="I1387" t="s">
        <v>18</v>
      </c>
      <c r="J1387" t="s">
        <v>44</v>
      </c>
      <c r="K1387"/>
      <c r="L1387"/>
      <c r="M1387" s="12">
        <v>1000</v>
      </c>
      <c r="N1387" s="12">
        <v>1000</v>
      </c>
      <c r="O1387" s="12">
        <v>1200</v>
      </c>
      <c r="P1387" s="12">
        <v>1000</v>
      </c>
      <c r="Q1387" s="12">
        <v>1400</v>
      </c>
      <c r="R1387" s="12">
        <v>1200</v>
      </c>
      <c r="S1387" s="12">
        <v>1400</v>
      </c>
      <c r="T1387" s="12">
        <v>1400</v>
      </c>
      <c r="U1387" s="12">
        <v>1200</v>
      </c>
      <c r="V1387" s="12">
        <v>1400</v>
      </c>
      <c r="W1387" s="12">
        <v>1400</v>
      </c>
      <c r="X1387" s="12">
        <v>1400</v>
      </c>
      <c r="Y1387" s="12">
        <f t="shared" si="24"/>
        <v>15000</v>
      </c>
    </row>
    <row r="1388" spans="1:25" ht="15">
      <c r="A1388">
        <v>2013</v>
      </c>
      <c r="B1388" t="s">
        <v>573</v>
      </c>
      <c r="C1388" t="s">
        <v>32</v>
      </c>
      <c r="D1388" t="s">
        <v>32</v>
      </c>
      <c r="E1388" t="s">
        <v>138</v>
      </c>
      <c r="F1388" t="s">
        <v>208</v>
      </c>
      <c r="G1388" t="s">
        <v>439</v>
      </c>
      <c r="H1388" t="s">
        <v>138</v>
      </c>
      <c r="I1388" t="s">
        <v>139</v>
      </c>
      <c r="J1388" t="s">
        <v>337</v>
      </c>
      <c r="K1388"/>
      <c r="L1388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>
        <v>4053.96</v>
      </c>
      <c r="W1388" s="12"/>
      <c r="X1388" s="12"/>
      <c r="Y1388" s="12">
        <f t="shared" si="24"/>
        <v>4053.96</v>
      </c>
    </row>
    <row r="1389" spans="1:25" ht="15">
      <c r="A1389">
        <v>2013</v>
      </c>
      <c r="B1389" t="s">
        <v>574</v>
      </c>
      <c r="C1389" t="s">
        <v>32</v>
      </c>
      <c r="D1389" t="s">
        <v>32</v>
      </c>
      <c r="E1389" t="s">
        <v>45</v>
      </c>
      <c r="F1389" t="s">
        <v>245</v>
      </c>
      <c r="G1389" t="s">
        <v>245</v>
      </c>
      <c r="H1389" t="s">
        <v>45</v>
      </c>
      <c r="I1389" t="s">
        <v>45</v>
      </c>
      <c r="J1389" t="s">
        <v>46</v>
      </c>
      <c r="K1389"/>
      <c r="L1389"/>
      <c r="M1389" s="12">
        <v>7543.02766798419</v>
      </c>
      <c r="N1389" s="12">
        <v>48052.11</v>
      </c>
      <c r="O1389" s="12">
        <v>83262</v>
      </c>
      <c r="P1389" s="12">
        <v>53575.07</v>
      </c>
      <c r="Q1389" s="12">
        <v>26235</v>
      </c>
      <c r="R1389" s="12">
        <v>32970</v>
      </c>
      <c r="S1389" s="12">
        <v>84599</v>
      </c>
      <c r="T1389" s="12">
        <v>76455.19</v>
      </c>
      <c r="U1389" s="12">
        <v>9279</v>
      </c>
      <c r="V1389" s="12">
        <v>4580</v>
      </c>
      <c r="W1389" s="12">
        <v>8547</v>
      </c>
      <c r="X1389" s="12">
        <v>8497</v>
      </c>
      <c r="Y1389" s="12">
        <f t="shared" si="24"/>
        <v>443594.39766798419</v>
      </c>
    </row>
    <row r="1390" spans="1:25" ht="15">
      <c r="A1390">
        <v>2013</v>
      </c>
      <c r="B1390" t="s">
        <v>574</v>
      </c>
      <c r="C1390" t="s">
        <v>32</v>
      </c>
      <c r="D1390" t="s">
        <v>32</v>
      </c>
      <c r="E1390" t="s">
        <v>45</v>
      </c>
      <c r="F1390" t="s">
        <v>168</v>
      </c>
      <c r="G1390" t="s">
        <v>442</v>
      </c>
      <c r="H1390" t="s">
        <v>45</v>
      </c>
      <c r="I1390" t="s">
        <v>45</v>
      </c>
      <c r="J1390" t="s">
        <v>46</v>
      </c>
      <c r="K1390"/>
      <c r="L1390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>
        <v>10000</v>
      </c>
      <c r="X1390" s="12">
        <v>8000</v>
      </c>
      <c r="Y1390" s="12">
        <f t="shared" si="24"/>
        <v>18000</v>
      </c>
    </row>
    <row r="1391" spans="1:25" ht="15">
      <c r="A1391">
        <v>2013</v>
      </c>
      <c r="B1391" t="s">
        <v>574</v>
      </c>
      <c r="C1391" t="s">
        <v>32</v>
      </c>
      <c r="D1391" t="s">
        <v>32</v>
      </c>
      <c r="E1391" t="s">
        <v>45</v>
      </c>
      <c r="F1391" t="s">
        <v>59</v>
      </c>
      <c r="G1391" t="s">
        <v>442</v>
      </c>
      <c r="H1391" t="s">
        <v>45</v>
      </c>
      <c r="I1391" t="s">
        <v>45</v>
      </c>
      <c r="J1391" t="s">
        <v>46</v>
      </c>
      <c r="K1391"/>
      <c r="L1391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>
        <v>4500</v>
      </c>
      <c r="X1391" s="12">
        <v>6640</v>
      </c>
      <c r="Y1391" s="12">
        <f t="shared" si="24"/>
        <v>11140</v>
      </c>
    </row>
    <row r="1392" spans="1:25" ht="15">
      <c r="A1392">
        <v>2013</v>
      </c>
      <c r="B1392" t="s">
        <v>574</v>
      </c>
      <c r="C1392" t="s">
        <v>32</v>
      </c>
      <c r="D1392" t="s">
        <v>32</v>
      </c>
      <c r="E1392" t="s">
        <v>45</v>
      </c>
      <c r="F1392" t="s">
        <v>66</v>
      </c>
      <c r="G1392" t="s">
        <v>442</v>
      </c>
      <c r="H1392" t="s">
        <v>45</v>
      </c>
      <c r="I1392" t="s">
        <v>45</v>
      </c>
      <c r="J1392" t="s">
        <v>46</v>
      </c>
      <c r="K1392"/>
      <c r="L139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>
        <v>25000</v>
      </c>
      <c r="X1392" s="12">
        <v>30000</v>
      </c>
      <c r="Y1392" s="12">
        <f t="shared" si="24"/>
        <v>55000</v>
      </c>
    </row>
    <row r="1393" spans="1:25" ht="15">
      <c r="A1393">
        <v>2013</v>
      </c>
      <c r="B1393" t="s">
        <v>574</v>
      </c>
      <c r="C1393" t="s">
        <v>32</v>
      </c>
      <c r="D1393" t="s">
        <v>32</v>
      </c>
      <c r="E1393" t="s">
        <v>45</v>
      </c>
      <c r="F1393" t="s">
        <v>33</v>
      </c>
      <c r="G1393" t="s">
        <v>442</v>
      </c>
      <c r="H1393" t="s">
        <v>45</v>
      </c>
      <c r="I1393" t="s">
        <v>45</v>
      </c>
      <c r="J1393" t="s">
        <v>46</v>
      </c>
      <c r="K1393"/>
      <c r="L1393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>
        <v>9700</v>
      </c>
      <c r="X1393" s="12">
        <v>9700</v>
      </c>
      <c r="Y1393" s="12">
        <f t="shared" si="24"/>
        <v>19400</v>
      </c>
    </row>
    <row r="1394" spans="1:25" ht="15">
      <c r="A1394">
        <v>2013</v>
      </c>
      <c r="B1394" t="s">
        <v>574</v>
      </c>
      <c r="C1394" t="s">
        <v>32</v>
      </c>
      <c r="D1394" t="s">
        <v>32</v>
      </c>
      <c r="E1394" t="s">
        <v>45</v>
      </c>
      <c r="F1394" t="s">
        <v>151</v>
      </c>
      <c r="G1394" t="s">
        <v>442</v>
      </c>
      <c r="H1394" t="s">
        <v>45</v>
      </c>
      <c r="I1394" t="s">
        <v>45</v>
      </c>
      <c r="J1394" t="s">
        <v>46</v>
      </c>
      <c r="K1394"/>
      <c r="L1394"/>
      <c r="M1394" s="12">
        <v>48585.972332015808</v>
      </c>
      <c r="N1394" s="12"/>
      <c r="O1394" s="12"/>
      <c r="P1394" s="12"/>
      <c r="Q1394" s="12">
        <v>602.29999999999995</v>
      </c>
      <c r="R1394" s="12"/>
      <c r="S1394" s="12"/>
      <c r="T1394" s="12"/>
      <c r="U1394" s="12">
        <v>54687.45</v>
      </c>
      <c r="V1394" s="12">
        <v>74972.67</v>
      </c>
      <c r="W1394" s="12">
        <v>3000</v>
      </c>
      <c r="X1394" s="12">
        <v>3000</v>
      </c>
      <c r="Y1394" s="12">
        <f t="shared" si="24"/>
        <v>184848.39233201579</v>
      </c>
    </row>
    <row r="1395" spans="1:25" ht="15">
      <c r="A1395">
        <v>2013</v>
      </c>
      <c r="B1395" t="s">
        <v>574</v>
      </c>
      <c r="C1395" t="s">
        <v>32</v>
      </c>
      <c r="D1395" t="s">
        <v>32</v>
      </c>
      <c r="E1395" t="s">
        <v>45</v>
      </c>
      <c r="F1395" t="s">
        <v>151</v>
      </c>
      <c r="G1395" t="s">
        <v>442</v>
      </c>
      <c r="H1395" t="s">
        <v>45</v>
      </c>
      <c r="I1395" t="s">
        <v>45</v>
      </c>
      <c r="J1395" t="s">
        <v>46</v>
      </c>
      <c r="K1395"/>
      <c r="L1395"/>
      <c r="M1395" s="12">
        <v>47582.710537049359</v>
      </c>
      <c r="N1395" s="12">
        <v>52266.327721583708</v>
      </c>
      <c r="O1395" s="12">
        <v>54019.630422949624</v>
      </c>
      <c r="P1395" s="12">
        <v>66155.135133941731</v>
      </c>
      <c r="Q1395" s="12">
        <v>107915.35761395391</v>
      </c>
      <c r="R1395" s="12">
        <v>135765.67289277317</v>
      </c>
      <c r="S1395" s="12">
        <v>107494.93993484222</v>
      </c>
      <c r="T1395" s="12">
        <v>89887.618199648728</v>
      </c>
      <c r="U1395" s="12">
        <v>57800.803489405735</v>
      </c>
      <c r="V1395" s="12">
        <v>51146.066858413353</v>
      </c>
      <c r="W1395" s="12">
        <v>48642.44767809911</v>
      </c>
      <c r="X1395" s="12">
        <v>62162.600271881063</v>
      </c>
      <c r="Y1395" s="12">
        <f t="shared" si="24"/>
        <v>880839.31075454177</v>
      </c>
    </row>
    <row r="1396" spans="1:25" ht="15">
      <c r="A1396">
        <v>2013</v>
      </c>
      <c r="B1396" t="s">
        <v>574</v>
      </c>
      <c r="C1396" t="s">
        <v>32</v>
      </c>
      <c r="D1396" t="s">
        <v>32</v>
      </c>
      <c r="E1396" t="s">
        <v>45</v>
      </c>
      <c r="F1396" t="s">
        <v>186</v>
      </c>
      <c r="G1396" t="s">
        <v>442</v>
      </c>
      <c r="H1396" t="s">
        <v>45</v>
      </c>
      <c r="I1396" t="s">
        <v>45</v>
      </c>
      <c r="J1396" t="s">
        <v>46</v>
      </c>
      <c r="K1396"/>
      <c r="L1396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>
        <v>4995</v>
      </c>
      <c r="X1396" s="12">
        <v>4995</v>
      </c>
      <c r="Y1396" s="12">
        <f t="shared" si="24"/>
        <v>9990</v>
      </c>
    </row>
    <row r="1397" spans="1:25" ht="15">
      <c r="A1397">
        <v>2013</v>
      </c>
      <c r="B1397" t="s">
        <v>573</v>
      </c>
      <c r="C1397" t="s">
        <v>32</v>
      </c>
      <c r="D1397" t="s">
        <v>32</v>
      </c>
      <c r="E1397" t="s">
        <v>29</v>
      </c>
      <c r="F1397" t="s">
        <v>245</v>
      </c>
      <c r="G1397" t="s">
        <v>245</v>
      </c>
      <c r="H1397" t="s">
        <v>29</v>
      </c>
      <c r="I1397" t="s">
        <v>29</v>
      </c>
      <c r="J1397" t="s">
        <v>95</v>
      </c>
      <c r="K1397"/>
      <c r="L1397"/>
      <c r="M1397" s="12">
        <v>56</v>
      </c>
      <c r="N1397" s="12">
        <v>51</v>
      </c>
      <c r="O1397" s="12">
        <v>102329.56</v>
      </c>
      <c r="P1397" s="12"/>
      <c r="Q1397" s="12">
        <v>2262.23</v>
      </c>
      <c r="R1397" s="12">
        <v>347.53</v>
      </c>
      <c r="S1397" s="12">
        <v>672.66</v>
      </c>
      <c r="T1397" s="12">
        <v>400</v>
      </c>
      <c r="U1397" s="12">
        <v>418</v>
      </c>
      <c r="V1397" s="12">
        <v>363.85</v>
      </c>
      <c r="W1397" s="12"/>
      <c r="X1397" s="12"/>
      <c r="Y1397" s="12">
        <f t="shared" si="24"/>
        <v>106900.83</v>
      </c>
    </row>
    <row r="1398" spans="1:25" ht="15">
      <c r="A1398">
        <v>2013</v>
      </c>
      <c r="B1398" t="s">
        <v>573</v>
      </c>
      <c r="C1398" t="s">
        <v>32</v>
      </c>
      <c r="D1398" t="s">
        <v>32</v>
      </c>
      <c r="E1398" t="s">
        <v>29</v>
      </c>
      <c r="F1398" t="s">
        <v>245</v>
      </c>
      <c r="G1398" t="s">
        <v>245</v>
      </c>
      <c r="H1398" t="s">
        <v>29</v>
      </c>
      <c r="I1398" t="s">
        <v>29</v>
      </c>
      <c r="J1398" t="s">
        <v>31</v>
      </c>
      <c r="K1398"/>
      <c r="L1398"/>
      <c r="M1398" s="12">
        <v>209.05</v>
      </c>
      <c r="N1398" s="12">
        <v>859</v>
      </c>
      <c r="O1398" s="12">
        <v>203</v>
      </c>
      <c r="P1398" s="12">
        <v>453</v>
      </c>
      <c r="Q1398" s="12">
        <v>73</v>
      </c>
      <c r="R1398" s="12">
        <v>64</v>
      </c>
      <c r="S1398" s="12"/>
      <c r="T1398" s="12">
        <v>502</v>
      </c>
      <c r="U1398" s="12">
        <v>59</v>
      </c>
      <c r="V1398" s="12"/>
      <c r="W1398" s="12"/>
      <c r="X1398" s="12"/>
      <c r="Y1398" s="12">
        <f t="shared" si="24"/>
        <v>2422.0500000000002</v>
      </c>
    </row>
    <row r="1399" spans="1:25" ht="15">
      <c r="A1399">
        <v>2013</v>
      </c>
      <c r="B1399" t="s">
        <v>573</v>
      </c>
      <c r="C1399" t="s">
        <v>32</v>
      </c>
      <c r="D1399" t="s">
        <v>32</v>
      </c>
      <c r="E1399" t="s">
        <v>29</v>
      </c>
      <c r="F1399" t="s">
        <v>245</v>
      </c>
      <c r="G1399" t="s">
        <v>245</v>
      </c>
      <c r="H1399" t="s">
        <v>29</v>
      </c>
      <c r="I1399" t="s">
        <v>29</v>
      </c>
      <c r="J1399" t="s">
        <v>30</v>
      </c>
      <c r="K1399"/>
      <c r="L1399"/>
      <c r="M1399" s="12">
        <v>400</v>
      </c>
      <c r="N1399" s="12"/>
      <c r="O1399" s="12">
        <v>386.33</v>
      </c>
      <c r="P1399" s="12">
        <v>667</v>
      </c>
      <c r="Q1399" s="12">
        <v>479</v>
      </c>
      <c r="R1399" s="12">
        <v>1024.4000000000001</v>
      </c>
      <c r="S1399" s="12">
        <v>743</v>
      </c>
      <c r="T1399" s="12">
        <v>1486</v>
      </c>
      <c r="U1399" s="12">
        <v>403.17</v>
      </c>
      <c r="V1399" s="12">
        <v>551.89</v>
      </c>
      <c r="W1399" s="12">
        <v>1000</v>
      </c>
      <c r="X1399" s="12">
        <v>1000</v>
      </c>
      <c r="Y1399" s="12">
        <f t="shared" si="24"/>
        <v>8140.79</v>
      </c>
    </row>
    <row r="1400" spans="1:25" ht="15">
      <c r="A1400">
        <v>2013</v>
      </c>
      <c r="B1400" t="s">
        <v>573</v>
      </c>
      <c r="C1400" t="s">
        <v>32</v>
      </c>
      <c r="D1400" t="s">
        <v>32</v>
      </c>
      <c r="E1400" t="s">
        <v>29</v>
      </c>
      <c r="F1400" t="s">
        <v>168</v>
      </c>
      <c r="G1400" t="s">
        <v>442</v>
      </c>
      <c r="H1400" t="s">
        <v>29</v>
      </c>
      <c r="I1400" t="s">
        <v>29</v>
      </c>
      <c r="J1400" t="s">
        <v>31</v>
      </c>
      <c r="K1400"/>
      <c r="L1400"/>
      <c r="M1400" s="12"/>
      <c r="N1400" s="12">
        <v>368</v>
      </c>
      <c r="O1400" s="12">
        <v>419.5</v>
      </c>
      <c r="P1400" s="12"/>
      <c r="Q1400" s="12">
        <v>518</v>
      </c>
      <c r="R1400" s="12">
        <v>704</v>
      </c>
      <c r="S1400" s="12">
        <v>670.2</v>
      </c>
      <c r="T1400" s="12">
        <v>778</v>
      </c>
      <c r="U1400" s="12">
        <v>302.60000000000002</v>
      </c>
      <c r="V1400" s="12">
        <v>10.6</v>
      </c>
      <c r="W1400" s="12">
        <v>250</v>
      </c>
      <c r="X1400" s="12">
        <v>250</v>
      </c>
      <c r="Y1400" s="12">
        <f t="shared" si="24"/>
        <v>4270.8999999999996</v>
      </c>
    </row>
    <row r="1401" spans="1:25" ht="15">
      <c r="A1401">
        <v>2013</v>
      </c>
      <c r="B1401" t="s">
        <v>573</v>
      </c>
      <c r="C1401" t="s">
        <v>32</v>
      </c>
      <c r="D1401" t="s">
        <v>32</v>
      </c>
      <c r="E1401" t="s">
        <v>29</v>
      </c>
      <c r="F1401" t="s">
        <v>168</v>
      </c>
      <c r="G1401" t="s">
        <v>442</v>
      </c>
      <c r="H1401" t="s">
        <v>29</v>
      </c>
      <c r="I1401" t="s">
        <v>29</v>
      </c>
      <c r="J1401" t="s">
        <v>30</v>
      </c>
      <c r="K1401"/>
      <c r="L1401"/>
      <c r="M1401" s="12">
        <v>122.73</v>
      </c>
      <c r="N1401" s="12">
        <v>145.47</v>
      </c>
      <c r="O1401" s="12">
        <v>148.78</v>
      </c>
      <c r="P1401" s="12">
        <v>96.74</v>
      </c>
      <c r="Q1401" s="12">
        <v>150.47</v>
      </c>
      <c r="R1401" s="12">
        <v>154.5</v>
      </c>
      <c r="S1401" s="12">
        <v>121.28</v>
      </c>
      <c r="T1401" s="12">
        <v>149.47999999999999</v>
      </c>
      <c r="U1401" s="12">
        <v>93.93</v>
      </c>
      <c r="V1401" s="12">
        <v>142</v>
      </c>
      <c r="W1401" s="12">
        <v>300</v>
      </c>
      <c r="X1401" s="12">
        <v>650</v>
      </c>
      <c r="Y1401" s="12">
        <f t="shared" si="24"/>
        <v>2275.38</v>
      </c>
    </row>
    <row r="1402" spans="1:25" ht="15">
      <c r="A1402">
        <v>2013</v>
      </c>
      <c r="B1402" t="s">
        <v>573</v>
      </c>
      <c r="C1402" t="s">
        <v>32</v>
      </c>
      <c r="D1402" t="s">
        <v>32</v>
      </c>
      <c r="E1402" t="s">
        <v>29</v>
      </c>
      <c r="F1402" t="s">
        <v>59</v>
      </c>
      <c r="G1402" t="s">
        <v>442</v>
      </c>
      <c r="H1402" t="s">
        <v>29</v>
      </c>
      <c r="I1402" t="s">
        <v>29</v>
      </c>
      <c r="J1402" t="s">
        <v>95</v>
      </c>
      <c r="K1402"/>
      <c r="L140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>
        <v>300</v>
      </c>
      <c r="X1402" s="12"/>
      <c r="Y1402" s="12">
        <f t="shared" si="24"/>
        <v>300</v>
      </c>
    </row>
    <row r="1403" spans="1:25" ht="15">
      <c r="A1403">
        <v>2013</v>
      </c>
      <c r="B1403" t="s">
        <v>573</v>
      </c>
      <c r="C1403" t="s">
        <v>32</v>
      </c>
      <c r="D1403" t="s">
        <v>32</v>
      </c>
      <c r="E1403" t="s">
        <v>29</v>
      </c>
      <c r="F1403" t="s">
        <v>59</v>
      </c>
      <c r="G1403" t="s">
        <v>442</v>
      </c>
      <c r="H1403" t="s">
        <v>29</v>
      </c>
      <c r="I1403" t="s">
        <v>29</v>
      </c>
      <c r="J1403" t="s">
        <v>31</v>
      </c>
      <c r="K1403"/>
      <c r="L1403"/>
      <c r="M1403" s="12">
        <v>409</v>
      </c>
      <c r="N1403" s="12">
        <v>362</v>
      </c>
      <c r="O1403" s="12">
        <v>574</v>
      </c>
      <c r="P1403" s="12">
        <v>275</v>
      </c>
      <c r="Q1403" s="12">
        <v>812</v>
      </c>
      <c r="R1403" s="12">
        <v>458</v>
      </c>
      <c r="S1403" s="12">
        <v>768</v>
      </c>
      <c r="T1403" s="12">
        <v>484</v>
      </c>
      <c r="U1403" s="12">
        <v>180</v>
      </c>
      <c r="V1403" s="12">
        <v>75</v>
      </c>
      <c r="W1403" s="12">
        <v>700</v>
      </c>
      <c r="X1403" s="12"/>
      <c r="Y1403" s="12">
        <f t="shared" si="24"/>
        <v>5097</v>
      </c>
    </row>
    <row r="1404" spans="1:25" ht="15">
      <c r="A1404">
        <v>2013</v>
      </c>
      <c r="B1404" t="s">
        <v>573</v>
      </c>
      <c r="C1404" t="s">
        <v>32</v>
      </c>
      <c r="D1404" t="s">
        <v>32</v>
      </c>
      <c r="E1404" t="s">
        <v>29</v>
      </c>
      <c r="F1404" t="s">
        <v>59</v>
      </c>
      <c r="G1404" t="s">
        <v>442</v>
      </c>
      <c r="H1404" t="s">
        <v>29</v>
      </c>
      <c r="I1404" t="s">
        <v>29</v>
      </c>
      <c r="J1404" t="s">
        <v>30</v>
      </c>
      <c r="K1404"/>
      <c r="L1404"/>
      <c r="M1404" s="12"/>
      <c r="N1404" s="12">
        <v>50</v>
      </c>
      <c r="O1404" s="12">
        <v>50</v>
      </c>
      <c r="P1404" s="12">
        <v>50</v>
      </c>
      <c r="Q1404" s="12">
        <v>99</v>
      </c>
      <c r="R1404" s="12">
        <v>144.33000000000001</v>
      </c>
      <c r="S1404" s="12">
        <v>50</v>
      </c>
      <c r="T1404" s="12"/>
      <c r="U1404" s="12"/>
      <c r="V1404" s="12"/>
      <c r="W1404" s="12">
        <v>100</v>
      </c>
      <c r="X1404" s="12">
        <v>100</v>
      </c>
      <c r="Y1404" s="12">
        <f t="shared" si="24"/>
        <v>643.33000000000004</v>
      </c>
    </row>
    <row r="1405" spans="1:25" ht="15">
      <c r="A1405">
        <v>2013</v>
      </c>
      <c r="B1405" t="s">
        <v>573</v>
      </c>
      <c r="C1405" t="s">
        <v>32</v>
      </c>
      <c r="D1405" t="s">
        <v>32</v>
      </c>
      <c r="E1405" t="s">
        <v>29</v>
      </c>
      <c r="F1405" t="s">
        <v>66</v>
      </c>
      <c r="G1405" t="s">
        <v>442</v>
      </c>
      <c r="H1405" t="s">
        <v>29</v>
      </c>
      <c r="I1405" t="s">
        <v>29</v>
      </c>
      <c r="J1405" t="s">
        <v>95</v>
      </c>
      <c r="K1405"/>
      <c r="L1405"/>
      <c r="M1405" s="12">
        <v>3974.48</v>
      </c>
      <c r="N1405" s="12">
        <v>3742.62</v>
      </c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>
        <f t="shared" si="24"/>
        <v>7717.1</v>
      </c>
    </row>
    <row r="1406" spans="1:25" ht="15">
      <c r="A1406">
        <v>2013</v>
      </c>
      <c r="B1406" t="s">
        <v>573</v>
      </c>
      <c r="C1406" t="s">
        <v>32</v>
      </c>
      <c r="D1406" t="s">
        <v>32</v>
      </c>
      <c r="E1406" t="s">
        <v>29</v>
      </c>
      <c r="F1406" t="s">
        <v>66</v>
      </c>
      <c r="G1406" t="s">
        <v>442</v>
      </c>
      <c r="H1406" t="s">
        <v>29</v>
      </c>
      <c r="I1406" t="s">
        <v>29</v>
      </c>
      <c r="J1406" t="s">
        <v>31</v>
      </c>
      <c r="K1406"/>
      <c r="L1406"/>
      <c r="M1406" s="12"/>
      <c r="N1406" s="12"/>
      <c r="O1406" s="12">
        <v>500</v>
      </c>
      <c r="P1406" s="12">
        <v>1380</v>
      </c>
      <c r="Q1406" s="12">
        <v>500</v>
      </c>
      <c r="R1406" s="12"/>
      <c r="S1406" s="12">
        <v>298</v>
      </c>
      <c r="T1406" s="12"/>
      <c r="U1406" s="12">
        <v>300</v>
      </c>
      <c r="V1406" s="12">
        <v>203</v>
      </c>
      <c r="W1406" s="12">
        <v>300</v>
      </c>
      <c r="X1406" s="12">
        <v>300</v>
      </c>
      <c r="Y1406" s="12">
        <f t="shared" si="24"/>
        <v>3781</v>
      </c>
    </row>
    <row r="1407" spans="1:25" ht="15">
      <c r="A1407">
        <v>2013</v>
      </c>
      <c r="B1407" t="s">
        <v>573</v>
      </c>
      <c r="C1407" t="s">
        <v>32</v>
      </c>
      <c r="D1407" t="s">
        <v>32</v>
      </c>
      <c r="E1407" t="s">
        <v>29</v>
      </c>
      <c r="F1407" t="s">
        <v>130</v>
      </c>
      <c r="G1407" t="s">
        <v>442</v>
      </c>
      <c r="H1407" t="s">
        <v>29</v>
      </c>
      <c r="I1407" t="s">
        <v>29</v>
      </c>
      <c r="J1407" t="s">
        <v>95</v>
      </c>
      <c r="K1407"/>
      <c r="L1407"/>
      <c r="M1407" s="12">
        <v>400</v>
      </c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>
        <f t="shared" si="24"/>
        <v>400</v>
      </c>
    </row>
    <row r="1408" spans="1:25" ht="15">
      <c r="A1408">
        <v>2013</v>
      </c>
      <c r="B1408" t="s">
        <v>573</v>
      </c>
      <c r="C1408" t="s">
        <v>32</v>
      </c>
      <c r="D1408" t="s">
        <v>32</v>
      </c>
      <c r="E1408" t="s">
        <v>29</v>
      </c>
      <c r="F1408" t="s">
        <v>130</v>
      </c>
      <c r="G1408" t="s">
        <v>442</v>
      </c>
      <c r="H1408" t="s">
        <v>29</v>
      </c>
      <c r="I1408" t="s">
        <v>29</v>
      </c>
      <c r="J1408" t="s">
        <v>31</v>
      </c>
      <c r="K1408"/>
      <c r="L1408"/>
      <c r="M1408" s="12">
        <v>852</v>
      </c>
      <c r="N1408" s="12">
        <v>274</v>
      </c>
      <c r="O1408" s="12">
        <v>217</v>
      </c>
      <c r="P1408" s="12">
        <v>710.39</v>
      </c>
      <c r="Q1408" s="12">
        <v>425</v>
      </c>
      <c r="R1408" s="12">
        <v>117</v>
      </c>
      <c r="S1408" s="12">
        <v>133</v>
      </c>
      <c r="T1408" s="12">
        <v>80</v>
      </c>
      <c r="U1408" s="12"/>
      <c r="V1408" s="12"/>
      <c r="W1408" s="12"/>
      <c r="X1408" s="12"/>
      <c r="Y1408" s="12">
        <f t="shared" si="24"/>
        <v>2808.39</v>
      </c>
    </row>
    <row r="1409" spans="1:25" ht="15">
      <c r="A1409">
        <v>2013</v>
      </c>
      <c r="B1409" t="s">
        <v>573</v>
      </c>
      <c r="C1409" t="s">
        <v>32</v>
      </c>
      <c r="D1409" t="s">
        <v>32</v>
      </c>
      <c r="E1409" t="s">
        <v>29</v>
      </c>
      <c r="F1409" t="s">
        <v>130</v>
      </c>
      <c r="G1409" t="s">
        <v>442</v>
      </c>
      <c r="H1409" t="s">
        <v>29</v>
      </c>
      <c r="I1409" t="s">
        <v>29</v>
      </c>
      <c r="J1409" t="s">
        <v>30</v>
      </c>
      <c r="K1409"/>
      <c r="L1409"/>
      <c r="M1409" s="12">
        <v>200</v>
      </c>
      <c r="N1409" s="12"/>
      <c r="O1409" s="12"/>
      <c r="P1409" s="12">
        <v>445.98</v>
      </c>
      <c r="Q1409" s="12"/>
      <c r="R1409" s="12"/>
      <c r="S1409" s="12"/>
      <c r="T1409" s="12"/>
      <c r="U1409" s="12">
        <v>150</v>
      </c>
      <c r="V1409" s="12"/>
      <c r="W1409" s="12"/>
      <c r="X1409" s="12"/>
      <c r="Y1409" s="12">
        <f t="shared" si="24"/>
        <v>795.98</v>
      </c>
    </row>
    <row r="1410" spans="1:25" ht="15">
      <c r="A1410">
        <v>2013</v>
      </c>
      <c r="B1410" t="s">
        <v>573</v>
      </c>
      <c r="C1410" t="s">
        <v>32</v>
      </c>
      <c r="D1410" t="s">
        <v>32</v>
      </c>
      <c r="E1410" t="s">
        <v>29</v>
      </c>
      <c r="F1410" t="s">
        <v>130</v>
      </c>
      <c r="G1410" t="s">
        <v>439</v>
      </c>
      <c r="H1410" t="s">
        <v>29</v>
      </c>
      <c r="I1410" t="s">
        <v>29</v>
      </c>
      <c r="J1410" t="s">
        <v>31</v>
      </c>
      <c r="K1410"/>
      <c r="L1410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>
        <v>337</v>
      </c>
      <c r="W1410" s="12"/>
      <c r="X1410" s="12"/>
      <c r="Y1410" s="12">
        <f t="shared" si="24"/>
        <v>337</v>
      </c>
    </row>
    <row r="1411" spans="1:25" ht="15">
      <c r="A1411">
        <v>2013</v>
      </c>
      <c r="B1411" t="s">
        <v>573</v>
      </c>
      <c r="C1411" t="s">
        <v>32</v>
      </c>
      <c r="D1411" t="s">
        <v>32</v>
      </c>
      <c r="E1411" t="s">
        <v>29</v>
      </c>
      <c r="F1411" t="s">
        <v>33</v>
      </c>
      <c r="G1411" t="s">
        <v>442</v>
      </c>
      <c r="H1411" t="s">
        <v>29</v>
      </c>
      <c r="I1411" t="s">
        <v>29</v>
      </c>
      <c r="J1411" t="s">
        <v>31</v>
      </c>
      <c r="K1411"/>
      <c r="L1411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>
        <v>250</v>
      </c>
      <c r="X1411" s="12">
        <v>250</v>
      </c>
      <c r="Y1411" s="12">
        <f t="shared" si="24"/>
        <v>500</v>
      </c>
    </row>
    <row r="1412" spans="1:25" ht="15">
      <c r="A1412">
        <v>2013</v>
      </c>
      <c r="B1412" t="s">
        <v>573</v>
      </c>
      <c r="C1412" t="s">
        <v>32</v>
      </c>
      <c r="D1412" t="s">
        <v>32</v>
      </c>
      <c r="E1412" t="s">
        <v>29</v>
      </c>
      <c r="F1412" t="s">
        <v>33</v>
      </c>
      <c r="G1412" t="s">
        <v>442</v>
      </c>
      <c r="H1412" t="s">
        <v>29</v>
      </c>
      <c r="I1412" t="s">
        <v>29</v>
      </c>
      <c r="J1412" t="s">
        <v>30</v>
      </c>
      <c r="K1412"/>
      <c r="L14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>
        <v>150</v>
      </c>
      <c r="X1412" s="12"/>
      <c r="Y1412" s="12">
        <f t="shared" si="24"/>
        <v>150</v>
      </c>
    </row>
    <row r="1413" spans="1:25" ht="15">
      <c r="A1413">
        <v>2013</v>
      </c>
      <c r="B1413" t="s">
        <v>573</v>
      </c>
      <c r="C1413" t="s">
        <v>32</v>
      </c>
      <c r="D1413" t="s">
        <v>32</v>
      </c>
      <c r="E1413" t="s">
        <v>29</v>
      </c>
      <c r="F1413" t="s">
        <v>151</v>
      </c>
      <c r="G1413" t="s">
        <v>442</v>
      </c>
      <c r="H1413" t="s">
        <v>29</v>
      </c>
      <c r="I1413" t="s">
        <v>29</v>
      </c>
      <c r="J1413" t="s">
        <v>95</v>
      </c>
      <c r="K1413"/>
      <c r="L1413"/>
      <c r="M1413" s="12">
        <v>1000</v>
      </c>
      <c r="N1413" s="12"/>
      <c r="O1413" s="12">
        <v>670</v>
      </c>
      <c r="P1413" s="12"/>
      <c r="Q1413" s="12">
        <v>1300</v>
      </c>
      <c r="R1413" s="12">
        <v>500</v>
      </c>
      <c r="S1413" s="12">
        <v>1120</v>
      </c>
      <c r="T1413" s="12">
        <v>1759</v>
      </c>
      <c r="U1413" s="12">
        <v>500</v>
      </c>
      <c r="V1413" s="12"/>
      <c r="W1413" s="12"/>
      <c r="X1413" s="12"/>
      <c r="Y1413" s="12">
        <f t="shared" si="24"/>
        <v>6849</v>
      </c>
    </row>
    <row r="1414" spans="1:25" ht="15">
      <c r="A1414">
        <v>2013</v>
      </c>
      <c r="B1414" t="s">
        <v>573</v>
      </c>
      <c r="C1414" t="s">
        <v>32</v>
      </c>
      <c r="D1414" t="s">
        <v>32</v>
      </c>
      <c r="E1414" t="s">
        <v>29</v>
      </c>
      <c r="F1414" t="s">
        <v>151</v>
      </c>
      <c r="G1414" t="s">
        <v>442</v>
      </c>
      <c r="H1414" t="s">
        <v>29</v>
      </c>
      <c r="I1414" t="s">
        <v>29</v>
      </c>
      <c r="J1414" t="s">
        <v>31</v>
      </c>
      <c r="K1414"/>
      <c r="L1414"/>
      <c r="M1414" s="12">
        <v>7970.81</v>
      </c>
      <c r="N1414" s="12">
        <v>180</v>
      </c>
      <c r="O1414" s="12">
        <v>8317.09</v>
      </c>
      <c r="P1414" s="12">
        <v>490</v>
      </c>
      <c r="Q1414" s="12">
        <v>25047.81</v>
      </c>
      <c r="R1414" s="12">
        <v>403</v>
      </c>
      <c r="S1414" s="12">
        <v>21036.82</v>
      </c>
      <c r="T1414" s="12">
        <v>27558</v>
      </c>
      <c r="U1414" s="12">
        <v>33389</v>
      </c>
      <c r="V1414" s="12">
        <v>57386.15</v>
      </c>
      <c r="W1414" s="12"/>
      <c r="X1414" s="12"/>
      <c r="Y1414" s="12">
        <f t="shared" si="24"/>
        <v>181778.68</v>
      </c>
    </row>
    <row r="1415" spans="1:25" ht="15">
      <c r="A1415">
        <v>2013</v>
      </c>
      <c r="B1415" t="s">
        <v>573</v>
      </c>
      <c r="C1415" t="s">
        <v>32</v>
      </c>
      <c r="D1415" t="s">
        <v>32</v>
      </c>
      <c r="E1415" t="s">
        <v>29</v>
      </c>
      <c r="F1415" t="s">
        <v>151</v>
      </c>
      <c r="G1415" t="s">
        <v>442</v>
      </c>
      <c r="H1415" t="s">
        <v>29</v>
      </c>
      <c r="I1415" t="s">
        <v>29</v>
      </c>
      <c r="J1415" t="s">
        <v>584</v>
      </c>
      <c r="K1415"/>
      <c r="L1415"/>
      <c r="M1415" s="12"/>
      <c r="N1415" s="12"/>
      <c r="O1415" s="12"/>
      <c r="P1415" s="12"/>
      <c r="Q1415" s="12"/>
      <c r="R1415" s="12"/>
      <c r="S1415" s="12">
        <v>1183</v>
      </c>
      <c r="T1415" s="12"/>
      <c r="U1415" s="12"/>
      <c r="V1415" s="12"/>
      <c r="W1415" s="12"/>
      <c r="X1415" s="12"/>
      <c r="Y1415" s="12">
        <f t="shared" si="24"/>
        <v>1183</v>
      </c>
    </row>
    <row r="1416" spans="1:25" ht="15">
      <c r="A1416">
        <v>2013</v>
      </c>
      <c r="B1416" t="s">
        <v>573</v>
      </c>
      <c r="C1416" t="s">
        <v>32</v>
      </c>
      <c r="D1416" t="s">
        <v>32</v>
      </c>
      <c r="E1416" t="s">
        <v>29</v>
      </c>
      <c r="F1416" t="s">
        <v>151</v>
      </c>
      <c r="G1416" t="s">
        <v>442</v>
      </c>
      <c r="H1416" t="s">
        <v>29</v>
      </c>
      <c r="I1416" t="s">
        <v>29</v>
      </c>
      <c r="J1416" t="s">
        <v>30</v>
      </c>
      <c r="K1416"/>
      <c r="L1416"/>
      <c r="M1416" s="12">
        <v>10</v>
      </c>
      <c r="N1416" s="12"/>
      <c r="O1416" s="12"/>
      <c r="P1416" s="12">
        <v>10</v>
      </c>
      <c r="Q1416" s="12"/>
      <c r="R1416" s="12"/>
      <c r="S1416" s="12"/>
      <c r="T1416" s="12"/>
      <c r="U1416" s="12"/>
      <c r="V1416" s="12"/>
      <c r="W1416" s="12"/>
      <c r="X1416" s="12"/>
      <c r="Y1416" s="12">
        <f t="shared" si="24"/>
        <v>20</v>
      </c>
    </row>
    <row r="1417" spans="1:25" ht="15">
      <c r="A1417">
        <v>2013</v>
      </c>
      <c r="B1417" t="s">
        <v>573</v>
      </c>
      <c r="C1417" t="s">
        <v>32</v>
      </c>
      <c r="D1417" t="s">
        <v>32</v>
      </c>
      <c r="E1417" t="s">
        <v>29</v>
      </c>
      <c r="F1417" t="s">
        <v>193</v>
      </c>
      <c r="G1417" t="s">
        <v>442</v>
      </c>
      <c r="H1417" t="s">
        <v>29</v>
      </c>
      <c r="I1417" t="s">
        <v>29</v>
      </c>
      <c r="J1417" t="s">
        <v>31</v>
      </c>
      <c r="K1417"/>
      <c r="L1417"/>
      <c r="M1417" s="12"/>
      <c r="N1417" s="12">
        <v>407</v>
      </c>
      <c r="O1417" s="12">
        <v>405</v>
      </c>
      <c r="P1417" s="12">
        <v>397</v>
      </c>
      <c r="Q1417" s="12">
        <v>410</v>
      </c>
      <c r="R1417" s="12"/>
      <c r="S1417" s="12"/>
      <c r="T1417" s="12">
        <v>371</v>
      </c>
      <c r="U1417" s="12"/>
      <c r="V1417" s="12"/>
      <c r="W1417" s="12"/>
      <c r="X1417" s="12"/>
      <c r="Y1417" s="12">
        <f t="shared" si="24"/>
        <v>1990</v>
      </c>
    </row>
    <row r="1418" spans="1:25" ht="15">
      <c r="A1418">
        <v>2013</v>
      </c>
      <c r="B1418" t="s">
        <v>573</v>
      </c>
      <c r="C1418" t="s">
        <v>32</v>
      </c>
      <c r="D1418" t="s">
        <v>32</v>
      </c>
      <c r="E1418" t="s">
        <v>29</v>
      </c>
      <c r="F1418" t="s">
        <v>8</v>
      </c>
      <c r="G1418" t="s">
        <v>439</v>
      </c>
      <c r="H1418" t="s">
        <v>29</v>
      </c>
      <c r="I1418" t="s">
        <v>29</v>
      </c>
      <c r="J1418" t="s">
        <v>31</v>
      </c>
      <c r="K1418"/>
      <c r="L1418"/>
      <c r="M1418" s="12">
        <v>311</v>
      </c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>
        <f t="shared" si="24"/>
        <v>311</v>
      </c>
    </row>
    <row r="1419" spans="1:25" ht="15">
      <c r="A1419">
        <v>2013</v>
      </c>
      <c r="B1419" t="s">
        <v>573</v>
      </c>
      <c r="C1419" t="s">
        <v>32</v>
      </c>
      <c r="D1419" t="s">
        <v>32</v>
      </c>
      <c r="E1419" t="s">
        <v>29</v>
      </c>
      <c r="F1419" t="s">
        <v>186</v>
      </c>
      <c r="G1419" t="s">
        <v>442</v>
      </c>
      <c r="H1419" t="s">
        <v>29</v>
      </c>
      <c r="I1419" t="s">
        <v>29</v>
      </c>
      <c r="J1419" t="s">
        <v>31</v>
      </c>
      <c r="K1419"/>
      <c r="L1419"/>
      <c r="M1419" s="12"/>
      <c r="N1419" s="12"/>
      <c r="O1419" s="12">
        <v>128</v>
      </c>
      <c r="P1419" s="12">
        <v>151</v>
      </c>
      <c r="Q1419" s="12">
        <v>460</v>
      </c>
      <c r="R1419" s="12">
        <v>181</v>
      </c>
      <c r="S1419" s="12">
        <v>40</v>
      </c>
      <c r="T1419" s="12">
        <v>32</v>
      </c>
      <c r="U1419" s="12">
        <v>16</v>
      </c>
      <c r="V1419" s="12"/>
      <c r="W1419" s="12">
        <v>400</v>
      </c>
      <c r="X1419" s="12">
        <v>400</v>
      </c>
      <c r="Y1419" s="12">
        <f t="shared" si="24"/>
        <v>1808</v>
      </c>
    </row>
    <row r="1420" spans="1:25" ht="15">
      <c r="A1420">
        <v>2013</v>
      </c>
      <c r="B1420" t="s">
        <v>573</v>
      </c>
      <c r="C1420" t="s">
        <v>32</v>
      </c>
      <c r="D1420" t="s">
        <v>32</v>
      </c>
      <c r="E1420" t="s">
        <v>29</v>
      </c>
      <c r="F1420" t="s">
        <v>186</v>
      </c>
      <c r="G1420" t="s">
        <v>442</v>
      </c>
      <c r="H1420" t="s">
        <v>29</v>
      </c>
      <c r="I1420" t="s">
        <v>29</v>
      </c>
      <c r="J1420" t="s">
        <v>30</v>
      </c>
      <c r="K1420"/>
      <c r="L1420"/>
      <c r="M1420" s="12"/>
      <c r="N1420" s="12">
        <v>50</v>
      </c>
      <c r="O1420" s="12">
        <v>50</v>
      </c>
      <c r="P1420" s="12">
        <v>50</v>
      </c>
      <c r="Q1420" s="12">
        <v>48.96</v>
      </c>
      <c r="R1420" s="12">
        <v>48.65</v>
      </c>
      <c r="S1420" s="12">
        <v>50</v>
      </c>
      <c r="T1420" s="12">
        <v>50</v>
      </c>
      <c r="U1420" s="12">
        <v>49.3</v>
      </c>
      <c r="V1420" s="12">
        <v>46.1</v>
      </c>
      <c r="W1420" s="12">
        <v>50</v>
      </c>
      <c r="X1420" s="12">
        <v>50</v>
      </c>
      <c r="Y1420" s="12">
        <f t="shared" si="24"/>
        <v>543.01</v>
      </c>
    </row>
    <row r="1421" spans="1:25" ht="15">
      <c r="A1421">
        <v>2013</v>
      </c>
      <c r="B1421" t="s">
        <v>573</v>
      </c>
      <c r="C1421" t="s">
        <v>32</v>
      </c>
      <c r="D1421" t="s">
        <v>32</v>
      </c>
      <c r="E1421" t="s">
        <v>89</v>
      </c>
      <c r="F1421" t="s">
        <v>245</v>
      </c>
      <c r="G1421" t="s">
        <v>245</v>
      </c>
      <c r="H1421" t="s">
        <v>89</v>
      </c>
      <c r="I1421" t="s">
        <v>139</v>
      </c>
      <c r="J1421" t="s">
        <v>337</v>
      </c>
      <c r="K1421"/>
      <c r="L1421"/>
      <c r="M1421" s="12"/>
      <c r="N1421" s="12"/>
      <c r="O1421" s="12"/>
      <c r="P1421" s="12"/>
      <c r="Q1421" s="12"/>
      <c r="R1421" s="12"/>
      <c r="S1421" s="12"/>
      <c r="T1421" s="12"/>
      <c r="U1421" s="12">
        <v>4939.7</v>
      </c>
      <c r="V1421" s="12"/>
      <c r="W1421" s="12"/>
      <c r="X1421" s="12"/>
      <c r="Y1421" s="12">
        <f t="shared" si="24"/>
        <v>4939.7</v>
      </c>
    </row>
    <row r="1422" spans="1:25" ht="15">
      <c r="A1422">
        <v>2013</v>
      </c>
      <c r="B1422" t="s">
        <v>573</v>
      </c>
      <c r="C1422" t="s">
        <v>32</v>
      </c>
      <c r="D1422" t="s">
        <v>32</v>
      </c>
      <c r="E1422" t="s">
        <v>89</v>
      </c>
      <c r="F1422" t="s">
        <v>245</v>
      </c>
      <c r="G1422" t="s">
        <v>245</v>
      </c>
      <c r="H1422" t="s">
        <v>89</v>
      </c>
      <c r="I1422" t="s">
        <v>210</v>
      </c>
      <c r="J1422" t="s">
        <v>211</v>
      </c>
      <c r="K1422"/>
      <c r="L1422"/>
      <c r="M1422" s="12"/>
      <c r="N1422" s="12"/>
      <c r="O1422" s="12"/>
      <c r="P1422" s="12"/>
      <c r="Q1422" s="12"/>
      <c r="R1422" s="12"/>
      <c r="S1422" s="12"/>
      <c r="T1422" s="12"/>
      <c r="U1422" s="12">
        <v>2802.08</v>
      </c>
      <c r="V1422" s="12"/>
      <c r="W1422" s="12"/>
      <c r="X1422" s="12"/>
      <c r="Y1422" s="12">
        <f t="shared" si="24"/>
        <v>2802.08</v>
      </c>
    </row>
    <row r="1423" spans="1:25" ht="15">
      <c r="A1423">
        <v>2013</v>
      </c>
      <c r="B1423" t="s">
        <v>573</v>
      </c>
      <c r="C1423" t="s">
        <v>32</v>
      </c>
      <c r="D1423" t="s">
        <v>32</v>
      </c>
      <c r="E1423" t="s">
        <v>89</v>
      </c>
      <c r="F1423" t="s">
        <v>208</v>
      </c>
      <c r="G1423" t="s">
        <v>439</v>
      </c>
      <c r="H1423" t="s">
        <v>89</v>
      </c>
      <c r="I1423" t="s">
        <v>90</v>
      </c>
      <c r="J1423" t="s">
        <v>90</v>
      </c>
      <c r="K1423"/>
      <c r="L1423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>
        <v>15920</v>
      </c>
      <c r="X1423" s="12">
        <v>5124</v>
      </c>
      <c r="Y1423" s="12">
        <f t="shared" si="24"/>
        <v>21044</v>
      </c>
    </row>
    <row r="1424" spans="1:25" ht="15">
      <c r="A1424">
        <v>2013</v>
      </c>
      <c r="B1424" t="s">
        <v>573</v>
      </c>
      <c r="C1424" t="s">
        <v>32</v>
      </c>
      <c r="D1424" t="s">
        <v>32</v>
      </c>
      <c r="E1424" t="s">
        <v>89</v>
      </c>
      <c r="F1424" t="s">
        <v>208</v>
      </c>
      <c r="G1424" t="s">
        <v>439</v>
      </c>
      <c r="H1424" t="s">
        <v>89</v>
      </c>
      <c r="I1424" t="s">
        <v>210</v>
      </c>
      <c r="J1424" t="s">
        <v>211</v>
      </c>
      <c r="K1424"/>
      <c r="L1424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>
        <v>52975.839999999997</v>
      </c>
      <c r="W1424" s="12">
        <v>63669</v>
      </c>
      <c r="X1424" s="12">
        <v>34850</v>
      </c>
      <c r="Y1424" s="12">
        <f t="shared" si="24"/>
        <v>151494.84</v>
      </c>
    </row>
    <row r="1425" spans="1:25" ht="15">
      <c r="A1425">
        <v>2013</v>
      </c>
      <c r="B1425" t="s">
        <v>573</v>
      </c>
      <c r="C1425" t="s">
        <v>32</v>
      </c>
      <c r="D1425" t="s">
        <v>32</v>
      </c>
      <c r="E1425" t="s">
        <v>12</v>
      </c>
      <c r="F1425" t="s">
        <v>595</v>
      </c>
      <c r="G1425" t="s">
        <v>442</v>
      </c>
      <c r="H1425" t="s">
        <v>12</v>
      </c>
      <c r="I1425" t="s">
        <v>12</v>
      </c>
      <c r="J1425" t="s">
        <v>13</v>
      </c>
      <c r="K1425"/>
      <c r="L1425"/>
      <c r="M1425" s="12">
        <v>2051.46</v>
      </c>
      <c r="N1425" s="12">
        <v>1841.48</v>
      </c>
      <c r="O1425" s="12">
        <v>1855.13</v>
      </c>
      <c r="P1425" s="12">
        <v>1622.5</v>
      </c>
      <c r="Q1425" s="12">
        <v>1626.96</v>
      </c>
      <c r="R1425" s="12">
        <v>1693.25</v>
      </c>
      <c r="S1425" s="12">
        <v>1808.68</v>
      </c>
      <c r="T1425" s="12"/>
      <c r="U1425" s="12"/>
      <c r="V1425" s="12"/>
      <c r="W1425" s="12"/>
      <c r="X1425" s="12"/>
      <c r="Y1425" s="12">
        <f t="shared" si="24"/>
        <v>12499.46</v>
      </c>
    </row>
    <row r="1426" spans="1:25" ht="15">
      <c r="A1426">
        <v>2013</v>
      </c>
      <c r="B1426" t="s">
        <v>573</v>
      </c>
      <c r="C1426" t="s">
        <v>32</v>
      </c>
      <c r="D1426" t="s">
        <v>32</v>
      </c>
      <c r="E1426" t="s">
        <v>12</v>
      </c>
      <c r="F1426" t="s">
        <v>595</v>
      </c>
      <c r="G1426" t="s">
        <v>439</v>
      </c>
      <c r="H1426" t="s">
        <v>12</v>
      </c>
      <c r="I1426" t="s">
        <v>12</v>
      </c>
      <c r="J1426" t="s">
        <v>13</v>
      </c>
      <c r="K1426"/>
      <c r="L1426"/>
      <c r="M1426" s="12"/>
      <c r="N1426" s="12"/>
      <c r="O1426" s="12"/>
      <c r="P1426" s="12"/>
      <c r="Q1426" s="12"/>
      <c r="R1426" s="12"/>
      <c r="S1426" s="12"/>
      <c r="T1426" s="12">
        <v>1467.71</v>
      </c>
      <c r="U1426" s="12"/>
      <c r="V1426" s="12"/>
      <c r="W1426" s="12"/>
      <c r="X1426" s="12"/>
      <c r="Y1426" s="12">
        <f t="shared" si="24"/>
        <v>1467.71</v>
      </c>
    </row>
    <row r="1427" spans="1:25" ht="15">
      <c r="A1427">
        <v>2013</v>
      </c>
      <c r="B1427" t="s">
        <v>573</v>
      </c>
      <c r="C1427" t="s">
        <v>32</v>
      </c>
      <c r="D1427" t="s">
        <v>32</v>
      </c>
      <c r="E1427" t="s">
        <v>12</v>
      </c>
      <c r="F1427" t="s">
        <v>245</v>
      </c>
      <c r="G1427" t="s">
        <v>245</v>
      </c>
      <c r="H1427" t="s">
        <v>12</v>
      </c>
      <c r="I1427" t="s">
        <v>12</v>
      </c>
      <c r="J1427" t="s">
        <v>134</v>
      </c>
      <c r="K1427"/>
      <c r="L1427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>
        <v>1930</v>
      </c>
      <c r="X1427" s="12">
        <v>1930</v>
      </c>
      <c r="Y1427" s="12">
        <f t="shared" ref="Y1427:Y1490" si="25">SUM(M1427:X1427)</f>
        <v>3860</v>
      </c>
    </row>
    <row r="1428" spans="1:25" ht="15">
      <c r="A1428">
        <v>2013</v>
      </c>
      <c r="B1428" t="s">
        <v>573</v>
      </c>
      <c r="C1428" t="s">
        <v>32</v>
      </c>
      <c r="D1428" t="s">
        <v>32</v>
      </c>
      <c r="E1428" t="s">
        <v>12</v>
      </c>
      <c r="F1428" t="s">
        <v>245</v>
      </c>
      <c r="G1428" t="s">
        <v>245</v>
      </c>
      <c r="H1428" t="s">
        <v>12</v>
      </c>
      <c r="I1428" t="s">
        <v>12</v>
      </c>
      <c r="J1428" t="s">
        <v>13</v>
      </c>
      <c r="K1428"/>
      <c r="L1428"/>
      <c r="M1428" s="12">
        <v>4715.0600000000004</v>
      </c>
      <c r="N1428" s="12">
        <v>4636.3</v>
      </c>
      <c r="O1428" s="12">
        <v>4904.3900000000003</v>
      </c>
      <c r="P1428" s="12">
        <v>5325.97</v>
      </c>
      <c r="Q1428" s="12">
        <v>4799.84</v>
      </c>
      <c r="R1428" s="12">
        <v>4649.26</v>
      </c>
      <c r="S1428" s="12">
        <v>6630.93</v>
      </c>
      <c r="T1428" s="12">
        <v>4267.63</v>
      </c>
      <c r="U1428" s="12">
        <v>5117.1099999999997</v>
      </c>
      <c r="V1428" s="12">
        <v>6864.16</v>
      </c>
      <c r="W1428" s="12">
        <v>4960</v>
      </c>
      <c r="X1428" s="12">
        <v>4960</v>
      </c>
      <c r="Y1428" s="12">
        <f t="shared" si="25"/>
        <v>61830.649999999994</v>
      </c>
    </row>
    <row r="1429" spans="1:25" ht="15">
      <c r="A1429">
        <v>2013</v>
      </c>
      <c r="B1429" t="s">
        <v>573</v>
      </c>
      <c r="C1429" t="s">
        <v>32</v>
      </c>
      <c r="D1429" t="s">
        <v>32</v>
      </c>
      <c r="E1429" t="s">
        <v>12</v>
      </c>
      <c r="F1429" t="s">
        <v>245</v>
      </c>
      <c r="G1429" t="s">
        <v>245</v>
      </c>
      <c r="H1429" t="s">
        <v>12</v>
      </c>
      <c r="I1429" t="s">
        <v>12</v>
      </c>
      <c r="J1429" t="s">
        <v>61</v>
      </c>
      <c r="K1429"/>
      <c r="L1429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>
        <v>400</v>
      </c>
      <c r="X1429" s="12">
        <v>400</v>
      </c>
      <c r="Y1429" s="12">
        <f t="shared" si="25"/>
        <v>800</v>
      </c>
    </row>
    <row r="1430" spans="1:25" ht="15">
      <c r="A1430">
        <v>2013</v>
      </c>
      <c r="B1430" t="s">
        <v>573</v>
      </c>
      <c r="C1430" t="s">
        <v>32</v>
      </c>
      <c r="D1430" t="s">
        <v>32</v>
      </c>
      <c r="E1430" t="s">
        <v>12</v>
      </c>
      <c r="F1430" t="s">
        <v>168</v>
      </c>
      <c r="G1430" t="s">
        <v>442</v>
      </c>
      <c r="H1430" t="s">
        <v>12</v>
      </c>
      <c r="I1430" t="s">
        <v>12</v>
      </c>
      <c r="J1430" t="s">
        <v>134</v>
      </c>
      <c r="K1430"/>
      <c r="L1430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>
        <v>1850</v>
      </c>
      <c r="W1430" s="12">
        <v>240</v>
      </c>
      <c r="X1430" s="12">
        <v>480</v>
      </c>
      <c r="Y1430" s="12">
        <f t="shared" si="25"/>
        <v>2570</v>
      </c>
    </row>
    <row r="1431" spans="1:25" ht="15">
      <c r="A1431">
        <v>2013</v>
      </c>
      <c r="B1431" t="s">
        <v>573</v>
      </c>
      <c r="C1431" t="s">
        <v>32</v>
      </c>
      <c r="D1431" t="s">
        <v>32</v>
      </c>
      <c r="E1431" t="s">
        <v>12</v>
      </c>
      <c r="F1431" t="s">
        <v>168</v>
      </c>
      <c r="G1431" t="s">
        <v>442</v>
      </c>
      <c r="H1431" t="s">
        <v>12</v>
      </c>
      <c r="I1431" t="s">
        <v>12</v>
      </c>
      <c r="J1431" t="s">
        <v>13</v>
      </c>
      <c r="K1431"/>
      <c r="L1431"/>
      <c r="M1431" s="12">
        <v>1016.68</v>
      </c>
      <c r="N1431" s="12">
        <v>1007.58</v>
      </c>
      <c r="O1431" s="12">
        <v>1030.21</v>
      </c>
      <c r="P1431" s="12">
        <v>1329.19</v>
      </c>
      <c r="Q1431" s="12">
        <v>1692.22</v>
      </c>
      <c r="R1431" s="12">
        <v>1796.68</v>
      </c>
      <c r="S1431" s="12">
        <v>1315.18</v>
      </c>
      <c r="T1431" s="12">
        <v>1096.56</v>
      </c>
      <c r="U1431" s="12">
        <v>1330.22</v>
      </c>
      <c r="V1431" s="12">
        <v>1171.3399999999999</v>
      </c>
      <c r="W1431" s="12">
        <v>505</v>
      </c>
      <c r="X1431" s="12">
        <v>1065</v>
      </c>
      <c r="Y1431" s="12">
        <f t="shared" si="25"/>
        <v>14355.859999999999</v>
      </c>
    </row>
    <row r="1432" spans="1:25" ht="15">
      <c r="A1432">
        <v>2013</v>
      </c>
      <c r="B1432" t="s">
        <v>573</v>
      </c>
      <c r="C1432" t="s">
        <v>32</v>
      </c>
      <c r="D1432" t="s">
        <v>32</v>
      </c>
      <c r="E1432" t="s">
        <v>12</v>
      </c>
      <c r="F1432" t="s">
        <v>168</v>
      </c>
      <c r="G1432" t="s">
        <v>442</v>
      </c>
      <c r="H1432" t="s">
        <v>12</v>
      </c>
      <c r="I1432" t="s">
        <v>12</v>
      </c>
      <c r="J1432" t="s">
        <v>61</v>
      </c>
      <c r="K1432"/>
      <c r="L1432"/>
      <c r="M1432" s="12">
        <v>204.13</v>
      </c>
      <c r="N1432" s="12">
        <v>498.07</v>
      </c>
      <c r="O1432" s="12">
        <v>100</v>
      </c>
      <c r="P1432" s="12">
        <v>201.16</v>
      </c>
      <c r="Q1432" s="12">
        <v>196.28</v>
      </c>
      <c r="R1432" s="12"/>
      <c r="S1432" s="12"/>
      <c r="T1432" s="12">
        <v>201.82</v>
      </c>
      <c r="U1432" s="12">
        <v>199.19</v>
      </c>
      <c r="V1432" s="12">
        <v>401.88</v>
      </c>
      <c r="W1432" s="12">
        <v>300</v>
      </c>
      <c r="X1432" s="12">
        <v>300</v>
      </c>
      <c r="Y1432" s="12">
        <f t="shared" si="25"/>
        <v>2602.5300000000002</v>
      </c>
    </row>
    <row r="1433" spans="1:25" ht="15">
      <c r="A1433">
        <v>2013</v>
      </c>
      <c r="B1433" t="s">
        <v>573</v>
      </c>
      <c r="C1433" t="s">
        <v>32</v>
      </c>
      <c r="D1433" t="s">
        <v>32</v>
      </c>
      <c r="E1433" t="s">
        <v>12</v>
      </c>
      <c r="F1433" t="s">
        <v>59</v>
      </c>
      <c r="G1433" t="s">
        <v>442</v>
      </c>
      <c r="H1433" t="s">
        <v>12</v>
      </c>
      <c r="I1433" t="s">
        <v>12</v>
      </c>
      <c r="J1433" t="s">
        <v>13</v>
      </c>
      <c r="K1433"/>
      <c r="L1433"/>
      <c r="M1433" s="12">
        <v>902.23</v>
      </c>
      <c r="N1433" s="12">
        <v>691.95</v>
      </c>
      <c r="O1433" s="12">
        <v>784.05</v>
      </c>
      <c r="P1433" s="12">
        <v>751.35</v>
      </c>
      <c r="Q1433" s="12">
        <v>616.55999999999995</v>
      </c>
      <c r="R1433" s="12">
        <v>829</v>
      </c>
      <c r="S1433" s="12">
        <v>787.45</v>
      </c>
      <c r="T1433" s="12">
        <v>809.83</v>
      </c>
      <c r="U1433" s="12">
        <v>779.96</v>
      </c>
      <c r="V1433" s="12">
        <v>1020.22</v>
      </c>
      <c r="W1433" s="12">
        <v>922</v>
      </c>
      <c r="X1433" s="12">
        <v>892</v>
      </c>
      <c r="Y1433" s="12">
        <f t="shared" si="25"/>
        <v>9786.5999999999985</v>
      </c>
    </row>
    <row r="1434" spans="1:25" ht="15">
      <c r="A1434">
        <v>2013</v>
      </c>
      <c r="B1434" t="s">
        <v>573</v>
      </c>
      <c r="C1434" t="s">
        <v>32</v>
      </c>
      <c r="D1434" t="s">
        <v>32</v>
      </c>
      <c r="E1434" t="s">
        <v>12</v>
      </c>
      <c r="F1434" t="s">
        <v>59</v>
      </c>
      <c r="G1434" t="s">
        <v>442</v>
      </c>
      <c r="H1434" t="s">
        <v>12</v>
      </c>
      <c r="I1434" t="s">
        <v>12</v>
      </c>
      <c r="J1434" t="s">
        <v>61</v>
      </c>
      <c r="K1434"/>
      <c r="L1434"/>
      <c r="M1434" s="12">
        <v>335</v>
      </c>
      <c r="N1434" s="12"/>
      <c r="O1434" s="12">
        <v>670</v>
      </c>
      <c r="P1434" s="12">
        <v>335</v>
      </c>
      <c r="Q1434" s="12">
        <v>335</v>
      </c>
      <c r="R1434" s="12">
        <v>335</v>
      </c>
      <c r="S1434" s="12">
        <v>1215.06</v>
      </c>
      <c r="T1434" s="12">
        <v>1574</v>
      </c>
      <c r="U1434" s="12">
        <v>335</v>
      </c>
      <c r="V1434" s="12">
        <v>335</v>
      </c>
      <c r="W1434" s="12">
        <v>555</v>
      </c>
      <c r="X1434" s="12">
        <v>555</v>
      </c>
      <c r="Y1434" s="12">
        <f t="shared" si="25"/>
        <v>6579.0599999999995</v>
      </c>
    </row>
    <row r="1435" spans="1:25" ht="15">
      <c r="A1435">
        <v>2013</v>
      </c>
      <c r="B1435" t="s">
        <v>573</v>
      </c>
      <c r="C1435" t="s">
        <v>32</v>
      </c>
      <c r="D1435" t="s">
        <v>32</v>
      </c>
      <c r="E1435" t="s">
        <v>12</v>
      </c>
      <c r="F1435" t="s">
        <v>66</v>
      </c>
      <c r="G1435" t="s">
        <v>442</v>
      </c>
      <c r="H1435" t="s">
        <v>12</v>
      </c>
      <c r="I1435" t="s">
        <v>12</v>
      </c>
      <c r="J1435" t="s">
        <v>13</v>
      </c>
      <c r="K1435"/>
      <c r="L1435"/>
      <c r="M1435" s="12">
        <v>2198.84</v>
      </c>
      <c r="N1435" s="12">
        <v>2378</v>
      </c>
      <c r="O1435" s="12">
        <v>1954.87</v>
      </c>
      <c r="P1435" s="12">
        <v>2353.56</v>
      </c>
      <c r="Q1435" s="12">
        <v>2130.75</v>
      </c>
      <c r="R1435" s="12">
        <v>2199.85</v>
      </c>
      <c r="S1435" s="12">
        <v>1997.4</v>
      </c>
      <c r="T1435" s="12">
        <v>1710.34</v>
      </c>
      <c r="U1435" s="12">
        <v>2160.92</v>
      </c>
      <c r="V1435" s="12">
        <v>1668.19</v>
      </c>
      <c r="W1435" s="12">
        <v>2168</v>
      </c>
      <c r="X1435" s="12">
        <v>2027</v>
      </c>
      <c r="Y1435" s="12">
        <f t="shared" si="25"/>
        <v>24947.719999999998</v>
      </c>
    </row>
    <row r="1436" spans="1:25" ht="15">
      <c r="A1436">
        <v>2013</v>
      </c>
      <c r="B1436" t="s">
        <v>573</v>
      </c>
      <c r="C1436" t="s">
        <v>32</v>
      </c>
      <c r="D1436" t="s">
        <v>32</v>
      </c>
      <c r="E1436" t="s">
        <v>12</v>
      </c>
      <c r="F1436" t="s">
        <v>596</v>
      </c>
      <c r="G1436" t="s">
        <v>442</v>
      </c>
      <c r="H1436" t="s">
        <v>12</v>
      </c>
      <c r="I1436" t="s">
        <v>12</v>
      </c>
      <c r="J1436" t="s">
        <v>13</v>
      </c>
      <c r="K1436"/>
      <c r="L1436"/>
      <c r="M1436" s="12">
        <v>3136.86</v>
      </c>
      <c r="N1436" s="12">
        <v>4035.26</v>
      </c>
      <c r="O1436" s="12">
        <v>7616.45</v>
      </c>
      <c r="P1436" s="12">
        <v>16759.939999999999</v>
      </c>
      <c r="Q1436" s="12">
        <v>4731.97</v>
      </c>
      <c r="R1436" s="12">
        <v>2948.78</v>
      </c>
      <c r="S1436" s="12">
        <v>6410.31</v>
      </c>
      <c r="T1436" s="12"/>
      <c r="U1436" s="12"/>
      <c r="V1436" s="12"/>
      <c r="W1436" s="12"/>
      <c r="X1436" s="12"/>
      <c r="Y1436" s="12">
        <f t="shared" si="25"/>
        <v>45639.569999999992</v>
      </c>
    </row>
    <row r="1437" spans="1:25" ht="15">
      <c r="A1437">
        <v>2013</v>
      </c>
      <c r="B1437" t="s">
        <v>573</v>
      </c>
      <c r="C1437" t="s">
        <v>32</v>
      </c>
      <c r="D1437" t="s">
        <v>32</v>
      </c>
      <c r="E1437" t="s">
        <v>12</v>
      </c>
      <c r="F1437" t="s">
        <v>596</v>
      </c>
      <c r="G1437" t="s">
        <v>439</v>
      </c>
      <c r="H1437" t="s">
        <v>12</v>
      </c>
      <c r="I1437" t="s">
        <v>12</v>
      </c>
      <c r="J1437" t="s">
        <v>13</v>
      </c>
      <c r="K1437"/>
      <c r="L1437"/>
      <c r="M1437" s="12"/>
      <c r="N1437" s="12"/>
      <c r="O1437" s="12"/>
      <c r="P1437" s="12"/>
      <c r="Q1437" s="12"/>
      <c r="R1437" s="12"/>
      <c r="S1437" s="12"/>
      <c r="T1437" s="12">
        <v>5997.96</v>
      </c>
      <c r="U1437" s="12"/>
      <c r="V1437" s="12"/>
      <c r="W1437" s="12"/>
      <c r="X1437" s="12"/>
      <c r="Y1437" s="12">
        <f t="shared" si="25"/>
        <v>5997.96</v>
      </c>
    </row>
    <row r="1438" spans="1:25" ht="15">
      <c r="A1438">
        <v>2013</v>
      </c>
      <c r="B1438" t="s">
        <v>573</v>
      </c>
      <c r="C1438" t="s">
        <v>32</v>
      </c>
      <c r="D1438" t="s">
        <v>32</v>
      </c>
      <c r="E1438" t="s">
        <v>12</v>
      </c>
      <c r="F1438" t="s">
        <v>130</v>
      </c>
      <c r="G1438" t="s">
        <v>442</v>
      </c>
      <c r="H1438" t="s">
        <v>12</v>
      </c>
      <c r="I1438" t="s">
        <v>12</v>
      </c>
      <c r="J1438" t="s">
        <v>13</v>
      </c>
      <c r="K1438"/>
      <c r="L1438"/>
      <c r="M1438" s="12">
        <v>739.79</v>
      </c>
      <c r="N1438" s="12">
        <v>896.83</v>
      </c>
      <c r="O1438" s="12">
        <v>959.37</v>
      </c>
      <c r="P1438" s="12">
        <v>788.38</v>
      </c>
      <c r="Q1438" s="12">
        <v>860.48</v>
      </c>
      <c r="R1438" s="12">
        <v>1312.66</v>
      </c>
      <c r="S1438" s="12">
        <v>883.81</v>
      </c>
      <c r="T1438" s="12">
        <v>1007.29</v>
      </c>
      <c r="U1438" s="12">
        <v>1349.12</v>
      </c>
      <c r="V1438" s="12"/>
      <c r="W1438" s="12"/>
      <c r="X1438" s="12"/>
      <c r="Y1438" s="12">
        <f t="shared" si="25"/>
        <v>8797.73</v>
      </c>
    </row>
    <row r="1439" spans="1:25" ht="15">
      <c r="A1439">
        <v>2013</v>
      </c>
      <c r="B1439" t="s">
        <v>573</v>
      </c>
      <c r="C1439" t="s">
        <v>32</v>
      </c>
      <c r="D1439" t="s">
        <v>32</v>
      </c>
      <c r="E1439" t="s">
        <v>12</v>
      </c>
      <c r="F1439" t="s">
        <v>130</v>
      </c>
      <c r="G1439" t="s">
        <v>439</v>
      </c>
      <c r="H1439" t="s">
        <v>12</v>
      </c>
      <c r="I1439" t="s">
        <v>12</v>
      </c>
      <c r="J1439" t="s">
        <v>13</v>
      </c>
      <c r="K1439"/>
      <c r="L1439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>
        <v>2007.65</v>
      </c>
      <c r="W1439" s="12"/>
      <c r="X1439" s="12"/>
      <c r="Y1439" s="12">
        <f t="shared" si="25"/>
        <v>2007.65</v>
      </c>
    </row>
    <row r="1440" spans="1:25" ht="15">
      <c r="A1440">
        <v>2013</v>
      </c>
      <c r="B1440" t="s">
        <v>573</v>
      </c>
      <c r="C1440" t="s">
        <v>32</v>
      </c>
      <c r="D1440" t="s">
        <v>32</v>
      </c>
      <c r="E1440" t="s">
        <v>12</v>
      </c>
      <c r="F1440" t="s">
        <v>33</v>
      </c>
      <c r="G1440" t="s">
        <v>442</v>
      </c>
      <c r="H1440" t="s">
        <v>12</v>
      </c>
      <c r="I1440" t="s">
        <v>12</v>
      </c>
      <c r="J1440" t="s">
        <v>13</v>
      </c>
      <c r="K1440"/>
      <c r="L1440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>
        <v>488</v>
      </c>
      <c r="X1440" s="12">
        <v>488</v>
      </c>
      <c r="Y1440" s="12">
        <f t="shared" si="25"/>
        <v>976</v>
      </c>
    </row>
    <row r="1441" spans="1:25" ht="15">
      <c r="A1441">
        <v>2013</v>
      </c>
      <c r="B1441" t="s">
        <v>573</v>
      </c>
      <c r="C1441" t="s">
        <v>32</v>
      </c>
      <c r="D1441" t="s">
        <v>32</v>
      </c>
      <c r="E1441" t="s">
        <v>12</v>
      </c>
      <c r="F1441" t="s">
        <v>151</v>
      </c>
      <c r="G1441" t="s">
        <v>442</v>
      </c>
      <c r="H1441" t="s">
        <v>12</v>
      </c>
      <c r="I1441" t="s">
        <v>12</v>
      </c>
      <c r="J1441" t="s">
        <v>13</v>
      </c>
      <c r="K1441"/>
      <c r="L1441"/>
      <c r="M1441" s="12">
        <v>2548.6799999999998</v>
      </c>
      <c r="N1441" s="12">
        <v>2613.06</v>
      </c>
      <c r="O1441" s="12">
        <v>2719.08</v>
      </c>
      <c r="P1441" s="12">
        <v>2410.09</v>
      </c>
      <c r="Q1441" s="12">
        <v>2387.27</v>
      </c>
      <c r="R1441" s="12">
        <v>2192.94</v>
      </c>
      <c r="S1441" s="12">
        <v>2154.92</v>
      </c>
      <c r="T1441" s="12">
        <v>1991.09</v>
      </c>
      <c r="U1441" s="12">
        <v>2140.0500000000002</v>
      </c>
      <c r="V1441" s="12">
        <v>2199.98</v>
      </c>
      <c r="W1441" s="12">
        <v>2580</v>
      </c>
      <c r="X1441" s="12">
        <v>2580</v>
      </c>
      <c r="Y1441" s="12">
        <f t="shared" si="25"/>
        <v>28517.16</v>
      </c>
    </row>
    <row r="1442" spans="1:25" ht="15">
      <c r="A1442">
        <v>2013</v>
      </c>
      <c r="B1442" t="s">
        <v>573</v>
      </c>
      <c r="C1442" t="s">
        <v>32</v>
      </c>
      <c r="D1442" t="s">
        <v>32</v>
      </c>
      <c r="E1442" t="s">
        <v>12</v>
      </c>
      <c r="F1442" t="s">
        <v>193</v>
      </c>
      <c r="G1442" t="s">
        <v>442</v>
      </c>
      <c r="H1442" t="s">
        <v>12</v>
      </c>
      <c r="I1442" t="s">
        <v>12</v>
      </c>
      <c r="J1442" t="s">
        <v>134</v>
      </c>
      <c r="K1442"/>
      <c r="L144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>
        <v>110</v>
      </c>
      <c r="X1442" s="12">
        <v>110</v>
      </c>
      <c r="Y1442" s="12">
        <f t="shared" si="25"/>
        <v>220</v>
      </c>
    </row>
    <row r="1443" spans="1:25" ht="15">
      <c r="A1443">
        <v>2013</v>
      </c>
      <c r="B1443" t="s">
        <v>573</v>
      </c>
      <c r="C1443" t="s">
        <v>32</v>
      </c>
      <c r="D1443" t="s">
        <v>32</v>
      </c>
      <c r="E1443" t="s">
        <v>12</v>
      </c>
      <c r="F1443" t="s">
        <v>193</v>
      </c>
      <c r="G1443" t="s">
        <v>442</v>
      </c>
      <c r="H1443" t="s">
        <v>12</v>
      </c>
      <c r="I1443" t="s">
        <v>12</v>
      </c>
      <c r="J1443" t="s">
        <v>13</v>
      </c>
      <c r="K1443"/>
      <c r="L1443"/>
      <c r="M1443" s="12">
        <v>718.17</v>
      </c>
      <c r="N1443" s="12">
        <v>682.53</v>
      </c>
      <c r="O1443" s="12">
        <v>604.02</v>
      </c>
      <c r="P1443" s="12">
        <v>697.92</v>
      </c>
      <c r="Q1443" s="12">
        <v>760.03</v>
      </c>
      <c r="R1443" s="12">
        <v>765.9</v>
      </c>
      <c r="S1443" s="12">
        <v>971.11</v>
      </c>
      <c r="T1443" s="12">
        <v>1013.38</v>
      </c>
      <c r="U1443" s="12">
        <v>1861.75</v>
      </c>
      <c r="V1443" s="12">
        <v>825.05</v>
      </c>
      <c r="W1443" s="12">
        <v>594</v>
      </c>
      <c r="X1443" s="12">
        <v>594</v>
      </c>
      <c r="Y1443" s="12">
        <f t="shared" si="25"/>
        <v>10087.859999999999</v>
      </c>
    </row>
    <row r="1444" spans="1:25" ht="15">
      <c r="A1444">
        <v>2013</v>
      </c>
      <c r="B1444" t="s">
        <v>573</v>
      </c>
      <c r="C1444" t="s">
        <v>32</v>
      </c>
      <c r="D1444" t="s">
        <v>32</v>
      </c>
      <c r="E1444" t="s">
        <v>12</v>
      </c>
      <c r="F1444" t="s">
        <v>8</v>
      </c>
      <c r="G1444" t="s">
        <v>439</v>
      </c>
      <c r="H1444" t="s">
        <v>12</v>
      </c>
      <c r="I1444" t="s">
        <v>12</v>
      </c>
      <c r="J1444" t="s">
        <v>13</v>
      </c>
      <c r="K1444"/>
      <c r="L1444"/>
      <c r="M1444" s="12">
        <v>152.02000000000001</v>
      </c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>
        <f t="shared" si="25"/>
        <v>152.02000000000001</v>
      </c>
    </row>
    <row r="1445" spans="1:25" ht="15">
      <c r="A1445">
        <v>2013</v>
      </c>
      <c r="B1445" t="s">
        <v>573</v>
      </c>
      <c r="C1445" t="s">
        <v>32</v>
      </c>
      <c r="D1445" t="s">
        <v>32</v>
      </c>
      <c r="E1445" t="s">
        <v>12</v>
      </c>
      <c r="F1445" t="s">
        <v>186</v>
      </c>
      <c r="G1445" t="s">
        <v>442</v>
      </c>
      <c r="H1445" t="s">
        <v>12</v>
      </c>
      <c r="I1445" t="s">
        <v>12</v>
      </c>
      <c r="J1445" t="s">
        <v>13</v>
      </c>
      <c r="K1445"/>
      <c r="L1445"/>
      <c r="M1445" s="12">
        <v>649.19000000000005</v>
      </c>
      <c r="N1445" s="12">
        <v>647.92999999999995</v>
      </c>
      <c r="O1445" s="12">
        <v>646.57000000000005</v>
      </c>
      <c r="P1445" s="12">
        <v>678.49</v>
      </c>
      <c r="Q1445" s="12">
        <v>652.80999999999995</v>
      </c>
      <c r="R1445" s="12">
        <v>686.32</v>
      </c>
      <c r="S1445" s="12">
        <v>652.38</v>
      </c>
      <c r="T1445" s="12">
        <v>559.44000000000005</v>
      </c>
      <c r="U1445" s="12">
        <v>649.25</v>
      </c>
      <c r="V1445" s="12">
        <v>654.04</v>
      </c>
      <c r="W1445" s="12">
        <v>627</v>
      </c>
      <c r="X1445" s="12">
        <v>627</v>
      </c>
      <c r="Y1445" s="12">
        <f t="shared" si="25"/>
        <v>7730.420000000001</v>
      </c>
    </row>
    <row r="1446" spans="1:25" ht="15">
      <c r="A1446">
        <v>2013</v>
      </c>
      <c r="B1446" t="s">
        <v>573</v>
      </c>
      <c r="C1446" t="s">
        <v>32</v>
      </c>
      <c r="D1446" t="s">
        <v>32</v>
      </c>
      <c r="E1446" t="s">
        <v>12</v>
      </c>
      <c r="F1446" t="s">
        <v>186</v>
      </c>
      <c r="G1446" t="s">
        <v>442</v>
      </c>
      <c r="H1446" t="s">
        <v>12</v>
      </c>
      <c r="I1446" t="s">
        <v>12</v>
      </c>
      <c r="J1446" t="s">
        <v>61</v>
      </c>
      <c r="K1446"/>
      <c r="L1446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>
        <v>400</v>
      </c>
      <c r="X1446" s="12">
        <v>400</v>
      </c>
      <c r="Y1446" s="12">
        <f t="shared" si="25"/>
        <v>800</v>
      </c>
    </row>
    <row r="1447" spans="1:25" ht="15">
      <c r="A1447">
        <v>2013</v>
      </c>
      <c r="B1447" t="s">
        <v>573</v>
      </c>
      <c r="C1447" t="s">
        <v>32</v>
      </c>
      <c r="D1447" t="s">
        <v>32</v>
      </c>
      <c r="E1447" t="s">
        <v>12</v>
      </c>
      <c r="F1447" t="s">
        <v>208</v>
      </c>
      <c r="G1447" t="s">
        <v>439</v>
      </c>
      <c r="H1447" t="s">
        <v>12</v>
      </c>
      <c r="I1447" t="s">
        <v>12</v>
      </c>
      <c r="J1447" t="s">
        <v>13</v>
      </c>
      <c r="K1447"/>
      <c r="L1447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>
        <v>340.13</v>
      </c>
      <c r="W1447" s="12">
        <v>380</v>
      </c>
      <c r="X1447" s="12">
        <v>380</v>
      </c>
      <c r="Y1447" s="12">
        <f t="shared" si="25"/>
        <v>1100.1300000000001</v>
      </c>
    </row>
    <row r="1448" spans="1:25" ht="15">
      <c r="A1448">
        <v>2013</v>
      </c>
      <c r="B1448" t="s">
        <v>573</v>
      </c>
      <c r="C1448" t="s">
        <v>32</v>
      </c>
      <c r="D1448" t="s">
        <v>32</v>
      </c>
      <c r="E1448" t="s">
        <v>12</v>
      </c>
      <c r="F1448" t="s">
        <v>597</v>
      </c>
      <c r="G1448" t="s">
        <v>442</v>
      </c>
      <c r="H1448" t="s">
        <v>12</v>
      </c>
      <c r="I1448" t="s">
        <v>12</v>
      </c>
      <c r="J1448" t="s">
        <v>13</v>
      </c>
      <c r="K1448"/>
      <c r="L1448"/>
      <c r="M1448" s="12">
        <v>979.73</v>
      </c>
      <c r="N1448" s="12">
        <v>977.41</v>
      </c>
      <c r="O1448" s="12">
        <v>1079.43</v>
      </c>
      <c r="P1448" s="12">
        <v>1074.78</v>
      </c>
      <c r="Q1448" s="12">
        <v>1177.32</v>
      </c>
      <c r="R1448" s="12">
        <v>922.65</v>
      </c>
      <c r="S1448" s="12">
        <v>1222.0999999999999</v>
      </c>
      <c r="T1448" s="12"/>
      <c r="U1448" s="12"/>
      <c r="V1448" s="12"/>
      <c r="W1448" s="12"/>
      <c r="X1448" s="12"/>
      <c r="Y1448" s="12">
        <f t="shared" si="25"/>
        <v>7433.4199999999983</v>
      </c>
    </row>
    <row r="1449" spans="1:25" ht="15">
      <c r="A1449">
        <v>2013</v>
      </c>
      <c r="B1449" t="s">
        <v>573</v>
      </c>
      <c r="C1449" t="s">
        <v>32</v>
      </c>
      <c r="D1449" t="s">
        <v>32</v>
      </c>
      <c r="E1449" t="s">
        <v>12</v>
      </c>
      <c r="F1449" t="s">
        <v>597</v>
      </c>
      <c r="G1449" t="s">
        <v>439</v>
      </c>
      <c r="H1449" t="s">
        <v>12</v>
      </c>
      <c r="I1449" t="s">
        <v>12</v>
      </c>
      <c r="J1449" t="s">
        <v>13</v>
      </c>
      <c r="K1449"/>
      <c r="L1449"/>
      <c r="M1449" s="12"/>
      <c r="N1449" s="12"/>
      <c r="O1449" s="12"/>
      <c r="P1449" s="12"/>
      <c r="Q1449" s="12"/>
      <c r="R1449" s="12"/>
      <c r="S1449" s="12"/>
      <c r="T1449" s="12">
        <v>1034.5899999999999</v>
      </c>
      <c r="U1449" s="12"/>
      <c r="V1449" s="12"/>
      <c r="W1449" s="12"/>
      <c r="X1449" s="12"/>
      <c r="Y1449" s="12">
        <f t="shared" si="25"/>
        <v>1034.5899999999999</v>
      </c>
    </row>
    <row r="1450" spans="1:25" ht="15">
      <c r="A1450">
        <v>2013</v>
      </c>
      <c r="B1450" t="s">
        <v>573</v>
      </c>
      <c r="C1450" t="s">
        <v>32</v>
      </c>
      <c r="D1450" t="s">
        <v>54</v>
      </c>
      <c r="E1450" t="s">
        <v>412</v>
      </c>
      <c r="F1450" t="s">
        <v>151</v>
      </c>
      <c r="G1450" t="s">
        <v>442</v>
      </c>
      <c r="H1450" t="s">
        <v>54</v>
      </c>
      <c r="I1450" t="s">
        <v>412</v>
      </c>
      <c r="J1450" t="s">
        <v>427</v>
      </c>
      <c r="K1450"/>
      <c r="L1450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>
        <v>15500</v>
      </c>
      <c r="W1450" s="12"/>
      <c r="X1450" s="12"/>
      <c r="Y1450" s="12">
        <f t="shared" si="25"/>
        <v>15500</v>
      </c>
    </row>
    <row r="1451" spans="1:25" ht="15">
      <c r="A1451">
        <v>2013</v>
      </c>
      <c r="B1451" t="s">
        <v>573</v>
      </c>
      <c r="C1451" t="s">
        <v>32</v>
      </c>
      <c r="D1451" t="s">
        <v>54</v>
      </c>
      <c r="E1451" t="s">
        <v>79</v>
      </c>
      <c r="F1451" t="s">
        <v>168</v>
      </c>
      <c r="G1451" t="s">
        <v>442</v>
      </c>
      <c r="H1451" t="s">
        <v>54</v>
      </c>
      <c r="I1451" t="s">
        <v>79</v>
      </c>
      <c r="J1451" t="s">
        <v>87</v>
      </c>
      <c r="K1451"/>
      <c r="L1451"/>
      <c r="M1451" s="12"/>
      <c r="N1451" s="12"/>
      <c r="O1451" s="12"/>
      <c r="P1451" s="12"/>
      <c r="Q1451" s="12"/>
      <c r="R1451" s="12"/>
      <c r="S1451" s="12"/>
      <c r="T1451" s="12">
        <v>113.67</v>
      </c>
      <c r="U1451" s="12"/>
      <c r="V1451" s="12"/>
      <c r="W1451" s="12"/>
      <c r="X1451" s="12"/>
      <c r="Y1451" s="12">
        <f t="shared" si="25"/>
        <v>113.67</v>
      </c>
    </row>
    <row r="1452" spans="1:25" ht="15">
      <c r="A1452">
        <v>2013</v>
      </c>
      <c r="B1452" t="s">
        <v>573</v>
      </c>
      <c r="C1452" t="s">
        <v>32</v>
      </c>
      <c r="D1452" t="s">
        <v>54</v>
      </c>
      <c r="E1452" t="s">
        <v>79</v>
      </c>
      <c r="F1452" t="s">
        <v>8</v>
      </c>
      <c r="G1452" t="s">
        <v>439</v>
      </c>
      <c r="H1452" t="s">
        <v>54</v>
      </c>
      <c r="I1452" t="s">
        <v>79</v>
      </c>
      <c r="J1452" t="s">
        <v>433</v>
      </c>
      <c r="K1452"/>
      <c r="L1452"/>
      <c r="M1452" s="12">
        <v>4500</v>
      </c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>
        <f t="shared" si="25"/>
        <v>4500</v>
      </c>
    </row>
    <row r="1453" spans="1:25" ht="15">
      <c r="A1453">
        <v>2013</v>
      </c>
      <c r="B1453" t="s">
        <v>573</v>
      </c>
      <c r="C1453" t="s">
        <v>32</v>
      </c>
      <c r="D1453" t="s">
        <v>54</v>
      </c>
      <c r="E1453" t="s">
        <v>55</v>
      </c>
      <c r="F1453" t="s">
        <v>245</v>
      </c>
      <c r="G1453" t="s">
        <v>245</v>
      </c>
      <c r="H1453" t="s">
        <v>54</v>
      </c>
      <c r="I1453" t="s">
        <v>55</v>
      </c>
      <c r="J1453" t="s">
        <v>56</v>
      </c>
      <c r="K1453"/>
      <c r="L1453"/>
      <c r="M1453" s="12">
        <v>1307.03</v>
      </c>
      <c r="N1453" s="12"/>
      <c r="O1453" s="12">
        <v>1360.98</v>
      </c>
      <c r="P1453" s="12">
        <v>539.28</v>
      </c>
      <c r="Q1453" s="12">
        <v>1580.33</v>
      </c>
      <c r="R1453" s="12">
        <v>1162.93</v>
      </c>
      <c r="S1453" s="12"/>
      <c r="T1453" s="12">
        <v>974.41</v>
      </c>
      <c r="U1453" s="12">
        <v>320.92</v>
      </c>
      <c r="V1453" s="12">
        <v>491.95</v>
      </c>
      <c r="W1453" s="12">
        <v>1000</v>
      </c>
      <c r="X1453" s="12">
        <v>1000</v>
      </c>
      <c r="Y1453" s="12">
        <f t="shared" si="25"/>
        <v>9737.83</v>
      </c>
    </row>
    <row r="1454" spans="1:25" ht="15">
      <c r="A1454">
        <v>2013</v>
      </c>
      <c r="B1454" t="s">
        <v>573</v>
      </c>
      <c r="C1454" t="s">
        <v>32</v>
      </c>
      <c r="D1454" t="s">
        <v>54</v>
      </c>
      <c r="E1454" t="s">
        <v>55</v>
      </c>
      <c r="F1454" t="s">
        <v>245</v>
      </c>
      <c r="G1454" t="s">
        <v>245</v>
      </c>
      <c r="H1454" t="s">
        <v>54</v>
      </c>
      <c r="I1454" t="s">
        <v>55</v>
      </c>
      <c r="J1454" t="s">
        <v>203</v>
      </c>
      <c r="K1454"/>
      <c r="L1454"/>
      <c r="M1454" s="12"/>
      <c r="N1454" s="12"/>
      <c r="O1454" s="12"/>
      <c r="P1454" s="12"/>
      <c r="Q1454" s="12"/>
      <c r="R1454" s="12"/>
      <c r="S1454" s="12">
        <v>1300</v>
      </c>
      <c r="T1454" s="12"/>
      <c r="U1454" s="12"/>
      <c r="V1454" s="12"/>
      <c r="W1454" s="12"/>
      <c r="X1454" s="12"/>
      <c r="Y1454" s="12">
        <f t="shared" si="25"/>
        <v>1300</v>
      </c>
    </row>
    <row r="1455" spans="1:25" ht="15">
      <c r="A1455">
        <v>2013</v>
      </c>
      <c r="B1455" t="s">
        <v>573</v>
      </c>
      <c r="C1455" t="s">
        <v>32</v>
      </c>
      <c r="D1455" t="s">
        <v>54</v>
      </c>
      <c r="E1455" t="s">
        <v>55</v>
      </c>
      <c r="F1455" t="s">
        <v>168</v>
      </c>
      <c r="G1455" t="s">
        <v>442</v>
      </c>
      <c r="H1455" t="s">
        <v>54</v>
      </c>
      <c r="I1455" t="s">
        <v>55</v>
      </c>
      <c r="J1455" t="s">
        <v>56</v>
      </c>
      <c r="K1455"/>
      <c r="L1455"/>
      <c r="M1455" s="12"/>
      <c r="N1455" s="12"/>
      <c r="O1455" s="12"/>
      <c r="P1455" s="12"/>
      <c r="Q1455" s="12"/>
      <c r="R1455" s="12"/>
      <c r="S1455" s="12"/>
      <c r="T1455" s="12"/>
      <c r="U1455" s="12">
        <v>286.77999999999997</v>
      </c>
      <c r="V1455" s="12"/>
      <c r="W1455" s="12"/>
      <c r="X1455" s="12">
        <v>100</v>
      </c>
      <c r="Y1455" s="12">
        <f t="shared" si="25"/>
        <v>386.78</v>
      </c>
    </row>
    <row r="1456" spans="1:25" ht="15">
      <c r="A1456">
        <v>2013</v>
      </c>
      <c r="B1456" t="s">
        <v>573</v>
      </c>
      <c r="C1456" t="s">
        <v>32</v>
      </c>
      <c r="D1456" t="s">
        <v>54</v>
      </c>
      <c r="E1456" t="s">
        <v>55</v>
      </c>
      <c r="F1456" t="s">
        <v>59</v>
      </c>
      <c r="G1456" t="s">
        <v>442</v>
      </c>
      <c r="H1456" t="s">
        <v>54</v>
      </c>
      <c r="I1456" t="s">
        <v>55</v>
      </c>
      <c r="J1456" t="s">
        <v>56</v>
      </c>
      <c r="K1456"/>
      <c r="L1456"/>
      <c r="M1456" s="12"/>
      <c r="N1456" s="12"/>
      <c r="O1456" s="12">
        <v>84.23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>
        <f t="shared" si="25"/>
        <v>84.23</v>
      </c>
    </row>
    <row r="1457" spans="1:25" ht="15">
      <c r="A1457">
        <v>2013</v>
      </c>
      <c r="B1457" t="s">
        <v>573</v>
      </c>
      <c r="C1457" t="s">
        <v>32</v>
      </c>
      <c r="D1457" t="s">
        <v>54</v>
      </c>
      <c r="E1457" t="s">
        <v>55</v>
      </c>
      <c r="F1457" t="s">
        <v>66</v>
      </c>
      <c r="G1457" t="s">
        <v>442</v>
      </c>
      <c r="H1457" t="s">
        <v>54</v>
      </c>
      <c r="I1457" t="s">
        <v>55</v>
      </c>
      <c r="J1457" t="s">
        <v>56</v>
      </c>
      <c r="K1457"/>
      <c r="L1457"/>
      <c r="M1457" s="12"/>
      <c r="N1457" s="12"/>
      <c r="O1457" s="12">
        <v>872.68</v>
      </c>
      <c r="P1457" s="12"/>
      <c r="Q1457" s="12"/>
      <c r="R1457" s="12"/>
      <c r="S1457" s="12"/>
      <c r="T1457" s="12"/>
      <c r="U1457" s="12"/>
      <c r="V1457" s="12"/>
      <c r="W1457" s="12"/>
      <c r="X1457" s="12"/>
      <c r="Y1457" s="12">
        <f t="shared" si="25"/>
        <v>872.68</v>
      </c>
    </row>
    <row r="1458" spans="1:25" ht="15">
      <c r="A1458">
        <v>2013</v>
      </c>
      <c r="B1458" t="s">
        <v>573</v>
      </c>
      <c r="C1458" t="s">
        <v>32</v>
      </c>
      <c r="D1458" t="s">
        <v>54</v>
      </c>
      <c r="E1458" t="s">
        <v>55</v>
      </c>
      <c r="F1458" t="s">
        <v>151</v>
      </c>
      <c r="G1458" t="s">
        <v>442</v>
      </c>
      <c r="H1458" t="s">
        <v>54</v>
      </c>
      <c r="I1458" t="s">
        <v>55</v>
      </c>
      <c r="J1458" t="s">
        <v>56</v>
      </c>
      <c r="K1458"/>
      <c r="L1458"/>
      <c r="M1458" s="12">
        <v>189.91</v>
      </c>
      <c r="N1458" s="12">
        <v>1053.74</v>
      </c>
      <c r="O1458" s="12"/>
      <c r="P1458" s="12">
        <v>34.1</v>
      </c>
      <c r="Q1458" s="12">
        <v>1611.87</v>
      </c>
      <c r="R1458" s="12">
        <v>600</v>
      </c>
      <c r="S1458" s="12"/>
      <c r="T1458" s="12">
        <v>151.25</v>
      </c>
      <c r="U1458" s="12">
        <v>309.70999999999998</v>
      </c>
      <c r="V1458" s="12"/>
      <c r="W1458" s="12"/>
      <c r="X1458" s="12"/>
      <c r="Y1458" s="12">
        <f t="shared" si="25"/>
        <v>3950.58</v>
      </c>
    </row>
    <row r="1459" spans="1:25" ht="15">
      <c r="A1459">
        <v>2013</v>
      </c>
      <c r="B1459" t="s">
        <v>573</v>
      </c>
      <c r="C1459" t="s">
        <v>32</v>
      </c>
      <c r="D1459" t="s">
        <v>54</v>
      </c>
      <c r="E1459" t="s">
        <v>55</v>
      </c>
      <c r="F1459" t="s">
        <v>8</v>
      </c>
      <c r="G1459" t="s">
        <v>439</v>
      </c>
      <c r="H1459" t="s">
        <v>54</v>
      </c>
      <c r="I1459" t="s">
        <v>55</v>
      </c>
      <c r="J1459" t="s">
        <v>56</v>
      </c>
      <c r="K1459"/>
      <c r="L1459"/>
      <c r="M1459" s="12">
        <v>121.68</v>
      </c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>
        <f t="shared" si="25"/>
        <v>121.68</v>
      </c>
    </row>
    <row r="1460" spans="1:25" ht="15">
      <c r="A1460">
        <v>2013</v>
      </c>
      <c r="B1460" t="s">
        <v>574</v>
      </c>
      <c r="C1460" t="s">
        <v>32</v>
      </c>
      <c r="D1460" t="s">
        <v>9</v>
      </c>
      <c r="E1460" t="s">
        <v>387</v>
      </c>
      <c r="F1460" t="s">
        <v>245</v>
      </c>
      <c r="G1460" t="s">
        <v>245</v>
      </c>
      <c r="H1460" t="s">
        <v>9</v>
      </c>
      <c r="I1460" t="s">
        <v>387</v>
      </c>
      <c r="J1460" t="s">
        <v>387</v>
      </c>
      <c r="K1460"/>
      <c r="L1460"/>
      <c r="M1460" s="12"/>
      <c r="N1460" s="12"/>
      <c r="O1460" s="12"/>
      <c r="P1460" s="12"/>
      <c r="Q1460" s="12">
        <v>287.33999999999997</v>
      </c>
      <c r="R1460" s="12"/>
      <c r="S1460" s="12"/>
      <c r="T1460" s="12"/>
      <c r="U1460" s="12"/>
      <c r="V1460" s="12"/>
      <c r="W1460" s="12"/>
      <c r="X1460" s="12"/>
      <c r="Y1460" s="12">
        <f t="shared" si="25"/>
        <v>287.33999999999997</v>
      </c>
    </row>
    <row r="1461" spans="1:25" ht="15">
      <c r="A1461">
        <v>2013</v>
      </c>
      <c r="B1461" t="s">
        <v>573</v>
      </c>
      <c r="C1461" t="s">
        <v>32</v>
      </c>
      <c r="D1461" t="s">
        <v>9</v>
      </c>
      <c r="E1461" t="s">
        <v>387</v>
      </c>
      <c r="F1461" t="s">
        <v>168</v>
      </c>
      <c r="G1461" t="s">
        <v>442</v>
      </c>
      <c r="H1461" t="s">
        <v>9</v>
      </c>
      <c r="I1461" t="s">
        <v>387</v>
      </c>
      <c r="J1461" t="s">
        <v>387</v>
      </c>
      <c r="K1461"/>
      <c r="L1461"/>
      <c r="M1461" s="12"/>
      <c r="N1461" s="12"/>
      <c r="O1461" s="12"/>
      <c r="P1461" s="12"/>
      <c r="Q1461" s="12"/>
      <c r="R1461" s="12"/>
      <c r="S1461" s="12"/>
      <c r="T1461" s="12">
        <v>68.14</v>
      </c>
      <c r="U1461" s="12"/>
      <c r="V1461" s="12"/>
      <c r="W1461" s="12"/>
      <c r="X1461" s="12"/>
      <c r="Y1461" s="12">
        <f t="shared" si="25"/>
        <v>68.14</v>
      </c>
    </row>
    <row r="1462" spans="1:25" ht="15">
      <c r="A1462">
        <v>2013</v>
      </c>
      <c r="B1462" t="s">
        <v>573</v>
      </c>
      <c r="C1462" t="s">
        <v>32</v>
      </c>
      <c r="D1462" t="s">
        <v>9</v>
      </c>
      <c r="E1462" t="s">
        <v>387</v>
      </c>
      <c r="F1462" t="s">
        <v>66</v>
      </c>
      <c r="G1462" t="s">
        <v>442</v>
      </c>
      <c r="H1462" t="s">
        <v>9</v>
      </c>
      <c r="I1462" t="s">
        <v>387</v>
      </c>
      <c r="J1462" t="s">
        <v>387</v>
      </c>
      <c r="K1462"/>
      <c r="L1462"/>
      <c r="M1462" s="12"/>
      <c r="N1462" s="12"/>
      <c r="O1462" s="12"/>
      <c r="P1462" s="12"/>
      <c r="Q1462" s="12">
        <v>164.58</v>
      </c>
      <c r="R1462" s="12">
        <v>20803.41</v>
      </c>
      <c r="S1462" s="12"/>
      <c r="T1462" s="12"/>
      <c r="U1462" s="12"/>
      <c r="V1462" s="12"/>
      <c r="W1462" s="12"/>
      <c r="X1462" s="12"/>
      <c r="Y1462" s="12">
        <f t="shared" si="25"/>
        <v>20967.990000000002</v>
      </c>
    </row>
    <row r="1463" spans="1:25" ht="15">
      <c r="A1463">
        <v>2013</v>
      </c>
      <c r="B1463" t="s">
        <v>573</v>
      </c>
      <c r="C1463" t="s">
        <v>32</v>
      </c>
      <c r="D1463" t="s">
        <v>9</v>
      </c>
      <c r="E1463" t="s">
        <v>387</v>
      </c>
      <c r="F1463" t="s">
        <v>151</v>
      </c>
      <c r="G1463" t="s">
        <v>442</v>
      </c>
      <c r="H1463" t="s">
        <v>9</v>
      </c>
      <c r="I1463" t="s">
        <v>387</v>
      </c>
      <c r="J1463" t="s">
        <v>387</v>
      </c>
      <c r="K1463"/>
      <c r="L1463"/>
      <c r="M1463" s="12">
        <v>102921.14</v>
      </c>
      <c r="N1463" s="12">
        <v>175362.58</v>
      </c>
      <c r="O1463" s="12">
        <v>141859.34</v>
      </c>
      <c r="P1463" s="12">
        <v>1053527.7</v>
      </c>
      <c r="Q1463" s="12">
        <v>66108.789999999994</v>
      </c>
      <c r="R1463" s="12">
        <v>42737.96</v>
      </c>
      <c r="S1463" s="12">
        <v>48367.05</v>
      </c>
      <c r="T1463" s="12">
        <v>144970</v>
      </c>
      <c r="U1463" s="12">
        <v>102361.18</v>
      </c>
      <c r="V1463" s="12">
        <v>84840</v>
      </c>
      <c r="W1463" s="12">
        <v>80000</v>
      </c>
      <c r="X1463" s="12">
        <v>80000</v>
      </c>
      <c r="Y1463" s="12">
        <f t="shared" si="25"/>
        <v>2123055.7399999998</v>
      </c>
    </row>
    <row r="1464" spans="1:25" ht="15">
      <c r="A1464">
        <v>2013</v>
      </c>
      <c r="B1464" t="s">
        <v>573</v>
      </c>
      <c r="C1464" t="s">
        <v>32</v>
      </c>
      <c r="D1464" t="s">
        <v>9</v>
      </c>
      <c r="E1464" t="s">
        <v>388</v>
      </c>
      <c r="F1464" t="s">
        <v>151</v>
      </c>
      <c r="G1464" t="s">
        <v>442</v>
      </c>
      <c r="H1464" t="s">
        <v>9</v>
      </c>
      <c r="I1464" t="s">
        <v>388</v>
      </c>
      <c r="J1464" t="s">
        <v>388</v>
      </c>
      <c r="K1464"/>
      <c r="L1464"/>
      <c r="M1464" s="12"/>
      <c r="N1464" s="12">
        <v>36000</v>
      </c>
      <c r="O1464" s="12">
        <v>26000</v>
      </c>
      <c r="P1464" s="12">
        <v>5647.21</v>
      </c>
      <c r="Q1464" s="12">
        <v>4000</v>
      </c>
      <c r="R1464" s="12">
        <v>40924.26</v>
      </c>
      <c r="S1464" s="12">
        <v>20852.14</v>
      </c>
      <c r="T1464" s="12">
        <v>20220</v>
      </c>
      <c r="U1464" s="12">
        <v>39323.51</v>
      </c>
      <c r="V1464" s="12">
        <v>37650</v>
      </c>
      <c r="W1464" s="12">
        <v>123000</v>
      </c>
      <c r="X1464" s="12">
        <v>70000</v>
      </c>
      <c r="Y1464" s="12">
        <f t="shared" si="25"/>
        <v>423617.12</v>
      </c>
    </row>
    <row r="1465" spans="1:25" ht="15">
      <c r="A1465">
        <v>2013</v>
      </c>
      <c r="B1465" t="s">
        <v>574</v>
      </c>
      <c r="C1465" t="s">
        <v>32</v>
      </c>
      <c r="D1465" t="s">
        <v>9</v>
      </c>
      <c r="E1465" t="s">
        <v>67</v>
      </c>
      <c r="F1465" t="s">
        <v>245</v>
      </c>
      <c r="G1465" t="s">
        <v>245</v>
      </c>
      <c r="H1465" t="s">
        <v>9</v>
      </c>
      <c r="I1465" t="s">
        <v>67</v>
      </c>
      <c r="J1465" t="s">
        <v>67</v>
      </c>
      <c r="K1465"/>
      <c r="L1465"/>
      <c r="M1465" s="12"/>
      <c r="N1465" s="12">
        <v>18030.45</v>
      </c>
      <c r="O1465" s="12">
        <v>8750</v>
      </c>
      <c r="P1465" s="12">
        <v>28123.82</v>
      </c>
      <c r="Q1465" s="12">
        <v>104180.95</v>
      </c>
      <c r="R1465" s="12">
        <v>87999.21</v>
      </c>
      <c r="S1465" s="12">
        <v>67199.73</v>
      </c>
      <c r="T1465" s="12">
        <v>64981.3</v>
      </c>
      <c r="U1465" s="12">
        <v>59877.919999999998</v>
      </c>
      <c r="V1465" s="12">
        <v>17939.830000000002</v>
      </c>
      <c r="W1465" s="12"/>
      <c r="X1465" s="12"/>
      <c r="Y1465" s="12">
        <f t="shared" si="25"/>
        <v>457083.20999999996</v>
      </c>
    </row>
    <row r="1466" spans="1:25" ht="15">
      <c r="A1466">
        <v>2013</v>
      </c>
      <c r="B1466" t="s">
        <v>573</v>
      </c>
      <c r="C1466" t="s">
        <v>32</v>
      </c>
      <c r="D1466" t="s">
        <v>9</v>
      </c>
      <c r="E1466" t="s">
        <v>67</v>
      </c>
      <c r="F1466" t="s">
        <v>168</v>
      </c>
      <c r="G1466" t="s">
        <v>442</v>
      </c>
      <c r="H1466" t="s">
        <v>9</v>
      </c>
      <c r="I1466" t="s">
        <v>67</v>
      </c>
      <c r="J1466" t="s">
        <v>67</v>
      </c>
      <c r="K1466"/>
      <c r="L1466"/>
      <c r="M1466" s="12"/>
      <c r="N1466" s="12"/>
      <c r="O1466" s="12"/>
      <c r="P1466" s="12"/>
      <c r="Q1466" s="12">
        <v>10417.31</v>
      </c>
      <c r="R1466" s="12">
        <v>10510</v>
      </c>
      <c r="S1466" s="12">
        <v>3687.8</v>
      </c>
      <c r="T1466" s="12"/>
      <c r="U1466" s="12">
        <v>1798.13</v>
      </c>
      <c r="V1466" s="12"/>
      <c r="W1466" s="12"/>
      <c r="X1466" s="12"/>
      <c r="Y1466" s="12">
        <f t="shared" si="25"/>
        <v>26413.239999999998</v>
      </c>
    </row>
    <row r="1467" spans="1:25" ht="15">
      <c r="A1467">
        <v>2013</v>
      </c>
      <c r="B1467" t="s">
        <v>573</v>
      </c>
      <c r="C1467" t="s">
        <v>32</v>
      </c>
      <c r="D1467" t="s">
        <v>9</v>
      </c>
      <c r="E1467" t="s">
        <v>67</v>
      </c>
      <c r="F1467" t="s">
        <v>66</v>
      </c>
      <c r="G1467" t="s">
        <v>442</v>
      </c>
      <c r="H1467" t="s">
        <v>9</v>
      </c>
      <c r="I1467" t="s">
        <v>67</v>
      </c>
      <c r="J1467" t="s">
        <v>67</v>
      </c>
      <c r="K1467"/>
      <c r="L1467"/>
      <c r="M1467" s="12"/>
      <c r="N1467" s="12"/>
      <c r="O1467" s="12"/>
      <c r="P1467" s="12"/>
      <c r="Q1467" s="12"/>
      <c r="R1467" s="12"/>
      <c r="S1467" s="12"/>
      <c r="T1467" s="12"/>
      <c r="U1467" s="12">
        <v>300</v>
      </c>
      <c r="V1467" s="12">
        <v>300</v>
      </c>
      <c r="W1467" s="12">
        <v>500</v>
      </c>
      <c r="X1467" s="12">
        <v>500</v>
      </c>
      <c r="Y1467" s="12">
        <f t="shared" si="25"/>
        <v>1600</v>
      </c>
    </row>
    <row r="1468" spans="1:25" ht="15">
      <c r="A1468">
        <v>2013</v>
      </c>
      <c r="B1468" t="s">
        <v>573</v>
      </c>
      <c r="C1468" t="s">
        <v>32</v>
      </c>
      <c r="D1468" t="s">
        <v>9</v>
      </c>
      <c r="E1468" t="s">
        <v>67</v>
      </c>
      <c r="F1468" t="s">
        <v>130</v>
      </c>
      <c r="G1468" t="s">
        <v>442</v>
      </c>
      <c r="H1468" t="s">
        <v>9</v>
      </c>
      <c r="I1468" t="s">
        <v>67</v>
      </c>
      <c r="J1468" t="s">
        <v>67</v>
      </c>
      <c r="K1468"/>
      <c r="L1468"/>
      <c r="M1468" s="12">
        <v>1252.33</v>
      </c>
      <c r="N1468" s="12"/>
      <c r="O1468" s="12"/>
      <c r="P1468" s="12"/>
      <c r="Q1468" s="12"/>
      <c r="R1468" s="12">
        <v>1155.07</v>
      </c>
      <c r="S1468" s="12">
        <v>855.78</v>
      </c>
      <c r="T1468" s="12">
        <v>2228.4899999999998</v>
      </c>
      <c r="U1468" s="12"/>
      <c r="V1468" s="12"/>
      <c r="W1468" s="12"/>
      <c r="X1468" s="12"/>
      <c r="Y1468" s="12">
        <f t="shared" si="25"/>
        <v>5491.6699999999992</v>
      </c>
    </row>
    <row r="1469" spans="1:25" ht="15">
      <c r="A1469">
        <v>2013</v>
      </c>
      <c r="B1469" t="s">
        <v>573</v>
      </c>
      <c r="C1469" t="s">
        <v>32</v>
      </c>
      <c r="D1469" t="s">
        <v>9</v>
      </c>
      <c r="E1469" t="s">
        <v>67</v>
      </c>
      <c r="F1469" t="s">
        <v>151</v>
      </c>
      <c r="G1469" t="s">
        <v>442</v>
      </c>
      <c r="H1469" t="s">
        <v>9</v>
      </c>
      <c r="I1469" t="s">
        <v>67</v>
      </c>
      <c r="J1469" t="s">
        <v>67</v>
      </c>
      <c r="K1469"/>
      <c r="L1469"/>
      <c r="M1469" s="12">
        <v>207151.58</v>
      </c>
      <c r="N1469" s="12">
        <v>206584.4</v>
      </c>
      <c r="O1469" s="12">
        <v>195264</v>
      </c>
      <c r="P1469" s="12">
        <v>206620</v>
      </c>
      <c r="Q1469" s="12">
        <v>200660</v>
      </c>
      <c r="R1469" s="12">
        <v>248060</v>
      </c>
      <c r="S1469" s="12">
        <v>221144</v>
      </c>
      <c r="T1469" s="12">
        <v>256368.52</v>
      </c>
      <c r="U1469" s="12">
        <v>237270</v>
      </c>
      <c r="V1469" s="12">
        <v>237768.99</v>
      </c>
      <c r="W1469" s="12">
        <v>262290</v>
      </c>
      <c r="X1469" s="12">
        <v>320090</v>
      </c>
      <c r="Y1469" s="12">
        <f t="shared" si="25"/>
        <v>2799271.49</v>
      </c>
    </row>
    <row r="1470" spans="1:25" ht="15">
      <c r="A1470">
        <v>2013</v>
      </c>
      <c r="B1470" t="s">
        <v>574</v>
      </c>
      <c r="C1470" t="s">
        <v>32</v>
      </c>
      <c r="D1470" t="s">
        <v>9</v>
      </c>
      <c r="E1470" t="s">
        <v>338</v>
      </c>
      <c r="F1470" t="s">
        <v>245</v>
      </c>
      <c r="G1470" t="s">
        <v>245</v>
      </c>
      <c r="H1470" t="s">
        <v>152</v>
      </c>
      <c r="I1470" t="s">
        <v>338</v>
      </c>
      <c r="J1470" t="s">
        <v>338</v>
      </c>
      <c r="K1470"/>
      <c r="L1470"/>
      <c r="M1470" s="12"/>
      <c r="N1470" s="12"/>
      <c r="O1470" s="12"/>
      <c r="P1470" s="12"/>
      <c r="Q1470" s="12"/>
      <c r="R1470" s="12"/>
      <c r="S1470" s="12"/>
      <c r="T1470" s="12"/>
      <c r="U1470" s="12">
        <v>7374.69</v>
      </c>
      <c r="V1470" s="12"/>
      <c r="W1470" s="12"/>
      <c r="X1470" s="12"/>
      <c r="Y1470" s="12">
        <f t="shared" si="25"/>
        <v>7374.69</v>
      </c>
    </row>
    <row r="1471" spans="1:25" ht="15">
      <c r="A1471">
        <v>2013</v>
      </c>
      <c r="B1471" t="s">
        <v>574</v>
      </c>
      <c r="C1471" t="s">
        <v>32</v>
      </c>
      <c r="D1471" t="s">
        <v>9</v>
      </c>
      <c r="E1471" t="s">
        <v>338</v>
      </c>
      <c r="F1471" t="s">
        <v>168</v>
      </c>
      <c r="G1471" t="s">
        <v>442</v>
      </c>
      <c r="H1471" t="s">
        <v>152</v>
      </c>
      <c r="I1471" t="s">
        <v>338</v>
      </c>
      <c r="J1471" t="s">
        <v>338</v>
      </c>
      <c r="K1471"/>
      <c r="L1471"/>
      <c r="M1471" s="12">
        <v>70000</v>
      </c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>
        <f t="shared" si="25"/>
        <v>70000</v>
      </c>
    </row>
    <row r="1472" spans="1:25" ht="15">
      <c r="A1472">
        <v>2013</v>
      </c>
      <c r="B1472" t="s">
        <v>574</v>
      </c>
      <c r="C1472" t="s">
        <v>32</v>
      </c>
      <c r="D1472" t="s">
        <v>9</v>
      </c>
      <c r="E1472" t="s">
        <v>338</v>
      </c>
      <c r="F1472" t="s">
        <v>66</v>
      </c>
      <c r="G1472" t="s">
        <v>442</v>
      </c>
      <c r="H1472" t="s">
        <v>152</v>
      </c>
      <c r="I1472" t="s">
        <v>338</v>
      </c>
      <c r="J1472" t="s">
        <v>338</v>
      </c>
      <c r="K1472"/>
      <c r="L1472"/>
      <c r="M1472" s="12">
        <v>4756.05</v>
      </c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>
        <f t="shared" si="25"/>
        <v>4756.05</v>
      </c>
    </row>
    <row r="1473" spans="1:25" ht="15">
      <c r="A1473">
        <v>2013</v>
      </c>
      <c r="B1473" t="s">
        <v>574</v>
      </c>
      <c r="C1473" t="s">
        <v>32</v>
      </c>
      <c r="D1473" t="s">
        <v>9</v>
      </c>
      <c r="E1473" t="s">
        <v>338</v>
      </c>
      <c r="F1473" t="s">
        <v>151</v>
      </c>
      <c r="G1473" t="s">
        <v>442</v>
      </c>
      <c r="H1473" t="s">
        <v>152</v>
      </c>
      <c r="I1473" t="s">
        <v>338</v>
      </c>
      <c r="J1473" t="s">
        <v>338</v>
      </c>
      <c r="K1473"/>
      <c r="L1473"/>
      <c r="M1473" s="12">
        <v>275829.49</v>
      </c>
      <c r="N1473" s="12">
        <v>629430.97</v>
      </c>
      <c r="O1473" s="12">
        <v>468916.87</v>
      </c>
      <c r="P1473" s="12">
        <v>956945.9</v>
      </c>
      <c r="Q1473" s="12">
        <v>946791.39</v>
      </c>
      <c r="R1473" s="12">
        <v>1368469.66</v>
      </c>
      <c r="S1473" s="12">
        <v>1211397.1299999999</v>
      </c>
      <c r="T1473" s="12">
        <v>802380.56</v>
      </c>
      <c r="U1473" s="12">
        <v>865101.5</v>
      </c>
      <c r="V1473" s="12">
        <v>1182106.3</v>
      </c>
      <c r="W1473" s="12">
        <v>550480</v>
      </c>
      <c r="X1473" s="12">
        <v>566230</v>
      </c>
      <c r="Y1473" s="12">
        <f t="shared" si="25"/>
        <v>9824079.7700000014</v>
      </c>
    </row>
    <row r="1474" spans="1:25" ht="15">
      <c r="A1474">
        <v>2013</v>
      </c>
      <c r="B1474" t="s">
        <v>574</v>
      </c>
      <c r="C1474" t="s">
        <v>32</v>
      </c>
      <c r="D1474" t="s">
        <v>9</v>
      </c>
      <c r="E1474" t="s">
        <v>338</v>
      </c>
      <c r="F1474" t="s">
        <v>186</v>
      </c>
      <c r="G1474" t="s">
        <v>442</v>
      </c>
      <c r="H1474" t="s">
        <v>152</v>
      </c>
      <c r="I1474" t="s">
        <v>338</v>
      </c>
      <c r="J1474" t="s">
        <v>338</v>
      </c>
      <c r="K1474"/>
      <c r="L1474"/>
      <c r="M1474" s="12"/>
      <c r="N1474" s="12"/>
      <c r="O1474" s="12"/>
      <c r="P1474" s="12">
        <v>700</v>
      </c>
      <c r="Q1474" s="12"/>
      <c r="R1474" s="12"/>
      <c r="S1474" s="12"/>
      <c r="T1474" s="12"/>
      <c r="U1474" s="12"/>
      <c r="V1474" s="12"/>
      <c r="W1474" s="12"/>
      <c r="X1474" s="12"/>
      <c r="Y1474" s="12">
        <f t="shared" si="25"/>
        <v>700</v>
      </c>
    </row>
    <row r="1475" spans="1:25" ht="15">
      <c r="A1475">
        <v>2013</v>
      </c>
      <c r="B1475" t="s">
        <v>574</v>
      </c>
      <c r="C1475" t="s">
        <v>32</v>
      </c>
      <c r="D1475" t="s">
        <v>9</v>
      </c>
      <c r="E1475" t="s">
        <v>10</v>
      </c>
      <c r="F1475" t="s">
        <v>245</v>
      </c>
      <c r="G1475" t="s">
        <v>245</v>
      </c>
      <c r="H1475" t="s">
        <v>9</v>
      </c>
      <c r="I1475" t="s">
        <v>10</v>
      </c>
      <c r="J1475" t="s">
        <v>15</v>
      </c>
      <c r="K1475"/>
      <c r="L1475"/>
      <c r="M1475" s="12">
        <v>38218.5</v>
      </c>
      <c r="N1475" s="12">
        <v>40262.78</v>
      </c>
      <c r="O1475" s="12">
        <v>16619.16</v>
      </c>
      <c r="P1475" s="12">
        <v>874.07</v>
      </c>
      <c r="Q1475" s="12">
        <v>54.84</v>
      </c>
      <c r="R1475" s="12"/>
      <c r="S1475" s="12"/>
      <c r="T1475" s="12">
        <v>1005</v>
      </c>
      <c r="U1475" s="12"/>
      <c r="V1475" s="12"/>
      <c r="W1475" s="12"/>
      <c r="X1475" s="12"/>
      <c r="Y1475" s="12">
        <f t="shared" si="25"/>
        <v>97034.35</v>
      </c>
    </row>
    <row r="1476" spans="1:25" ht="15">
      <c r="A1476">
        <v>2013</v>
      </c>
      <c r="B1476" t="s">
        <v>574</v>
      </c>
      <c r="C1476" t="s">
        <v>32</v>
      </c>
      <c r="D1476" t="s">
        <v>9</v>
      </c>
      <c r="E1476" t="s">
        <v>10</v>
      </c>
      <c r="F1476" t="s">
        <v>245</v>
      </c>
      <c r="G1476" t="s">
        <v>245</v>
      </c>
      <c r="H1476" t="s">
        <v>9</v>
      </c>
      <c r="I1476" t="s">
        <v>10</v>
      </c>
      <c r="J1476" t="s">
        <v>324</v>
      </c>
      <c r="K1476"/>
      <c r="L1476"/>
      <c r="M1476" s="12"/>
      <c r="N1476" s="12"/>
      <c r="O1476" s="12">
        <v>19670</v>
      </c>
      <c r="P1476" s="12">
        <v>36763.97</v>
      </c>
      <c r="Q1476" s="12">
        <v>83394.929999999993</v>
      </c>
      <c r="R1476" s="12">
        <v>181877.84</v>
      </c>
      <c r="S1476" s="12">
        <v>191001.86</v>
      </c>
      <c r="T1476" s="12">
        <v>128934</v>
      </c>
      <c r="U1476" s="12">
        <v>34183.33</v>
      </c>
      <c r="V1476" s="12">
        <v>18369</v>
      </c>
      <c r="W1476" s="12">
        <v>61412</v>
      </c>
      <c r="X1476" s="12"/>
      <c r="Y1476" s="12">
        <f t="shared" si="25"/>
        <v>755606.92999999993</v>
      </c>
    </row>
    <row r="1477" spans="1:25" ht="15">
      <c r="A1477">
        <v>2013</v>
      </c>
      <c r="B1477" t="s">
        <v>574</v>
      </c>
      <c r="C1477" t="s">
        <v>32</v>
      </c>
      <c r="D1477" t="s">
        <v>9</v>
      </c>
      <c r="E1477" t="s">
        <v>10</v>
      </c>
      <c r="F1477" t="s">
        <v>245</v>
      </c>
      <c r="G1477" t="s">
        <v>245</v>
      </c>
      <c r="H1477" t="s">
        <v>9</v>
      </c>
      <c r="I1477" t="s">
        <v>10</v>
      </c>
      <c r="J1477" t="s">
        <v>11</v>
      </c>
      <c r="K1477"/>
      <c r="L1477"/>
      <c r="M1477" s="12"/>
      <c r="N1477" s="12"/>
      <c r="O1477" s="12">
        <v>4745</v>
      </c>
      <c r="P1477" s="12">
        <v>47757.919999999998</v>
      </c>
      <c r="Q1477" s="12">
        <v>108253.09</v>
      </c>
      <c r="R1477" s="12">
        <v>167166.71</v>
      </c>
      <c r="S1477" s="12">
        <v>170487.99</v>
      </c>
      <c r="T1477" s="12">
        <v>141948.41</v>
      </c>
      <c r="U1477" s="12">
        <v>49737.33</v>
      </c>
      <c r="V1477" s="12">
        <v>18239.36</v>
      </c>
      <c r="W1477" s="12">
        <v>146032</v>
      </c>
      <c r="X1477" s="12">
        <v>78751.009999999995</v>
      </c>
      <c r="Y1477" s="12">
        <f t="shared" si="25"/>
        <v>933118.82</v>
      </c>
    </row>
    <row r="1478" spans="1:25" ht="15">
      <c r="A1478">
        <v>2013</v>
      </c>
      <c r="B1478" t="s">
        <v>574</v>
      </c>
      <c r="C1478" t="s">
        <v>32</v>
      </c>
      <c r="D1478" t="s">
        <v>9</v>
      </c>
      <c r="E1478" t="s">
        <v>10</v>
      </c>
      <c r="F1478" t="s">
        <v>245</v>
      </c>
      <c r="G1478" t="s">
        <v>245</v>
      </c>
      <c r="H1478" t="s">
        <v>9</v>
      </c>
      <c r="I1478" t="s">
        <v>10</v>
      </c>
      <c r="J1478" t="s">
        <v>325</v>
      </c>
      <c r="K1478"/>
      <c r="L1478"/>
      <c r="M1478" s="12"/>
      <c r="N1478" s="12"/>
      <c r="O1478" s="12"/>
      <c r="P1478" s="12">
        <v>229031.6</v>
      </c>
      <c r="Q1478" s="12">
        <v>216371.14</v>
      </c>
      <c r="R1478" s="12">
        <v>108954.85</v>
      </c>
      <c r="S1478" s="12">
        <v>104282.92</v>
      </c>
      <c r="T1478" s="12">
        <v>60585.52</v>
      </c>
      <c r="U1478" s="12">
        <v>100791.26</v>
      </c>
      <c r="V1478" s="12">
        <v>6016</v>
      </c>
      <c r="W1478" s="12">
        <v>13000</v>
      </c>
      <c r="X1478" s="12">
        <v>11136</v>
      </c>
      <c r="Y1478" s="12">
        <f t="shared" si="25"/>
        <v>850169.29</v>
      </c>
    </row>
    <row r="1479" spans="1:25" ht="15">
      <c r="A1479">
        <v>2013</v>
      </c>
      <c r="B1479" t="s">
        <v>574</v>
      </c>
      <c r="C1479" t="s">
        <v>32</v>
      </c>
      <c r="D1479" t="s">
        <v>9</v>
      </c>
      <c r="E1479" t="s">
        <v>10</v>
      </c>
      <c r="F1479" t="s">
        <v>245</v>
      </c>
      <c r="G1479" t="s">
        <v>245</v>
      </c>
      <c r="H1479" t="s">
        <v>9</v>
      </c>
      <c r="I1479" t="s">
        <v>10</v>
      </c>
      <c r="J1479" t="s">
        <v>384</v>
      </c>
      <c r="K1479"/>
      <c r="L1479"/>
      <c r="M1479" s="12"/>
      <c r="N1479" s="12"/>
      <c r="O1479" s="12"/>
      <c r="P1479" s="12"/>
      <c r="Q1479" s="12"/>
      <c r="R1479" s="12"/>
      <c r="S1479" s="12"/>
      <c r="T1479" s="12">
        <v>220.67</v>
      </c>
      <c r="U1479" s="12"/>
      <c r="V1479" s="12">
        <v>6346</v>
      </c>
      <c r="W1479" s="12"/>
      <c r="X1479" s="12"/>
      <c r="Y1479" s="12">
        <f t="shared" si="25"/>
        <v>6566.67</v>
      </c>
    </row>
    <row r="1480" spans="1:25" ht="15">
      <c r="A1480">
        <v>2013</v>
      </c>
      <c r="B1480" t="s">
        <v>573</v>
      </c>
      <c r="C1480" t="s">
        <v>32</v>
      </c>
      <c r="D1480" t="s">
        <v>9</v>
      </c>
      <c r="E1480" t="s">
        <v>10</v>
      </c>
      <c r="F1480" t="s">
        <v>168</v>
      </c>
      <c r="G1480" t="s">
        <v>442</v>
      </c>
      <c r="H1480" t="s">
        <v>9</v>
      </c>
      <c r="I1480" t="s">
        <v>10</v>
      </c>
      <c r="J1480" t="s">
        <v>15</v>
      </c>
      <c r="K1480"/>
      <c r="L1480"/>
      <c r="M1480" s="12"/>
      <c r="N1480" s="12">
        <v>56.56</v>
      </c>
      <c r="O1480" s="12">
        <v>340</v>
      </c>
      <c r="P1480" s="12"/>
      <c r="Q1480" s="12"/>
      <c r="R1480" s="12"/>
      <c r="S1480" s="12"/>
      <c r="T1480" s="12"/>
      <c r="U1480" s="12"/>
      <c r="V1480" s="12"/>
      <c r="W1480" s="12"/>
      <c r="X1480" s="12"/>
      <c r="Y1480" s="12">
        <f t="shared" si="25"/>
        <v>396.56</v>
      </c>
    </row>
    <row r="1481" spans="1:25" ht="15">
      <c r="A1481">
        <v>2013</v>
      </c>
      <c r="B1481" t="s">
        <v>573</v>
      </c>
      <c r="C1481" t="s">
        <v>32</v>
      </c>
      <c r="D1481" t="s">
        <v>9</v>
      </c>
      <c r="E1481" t="s">
        <v>10</v>
      </c>
      <c r="F1481" t="s">
        <v>168</v>
      </c>
      <c r="G1481" t="s">
        <v>442</v>
      </c>
      <c r="H1481" t="s">
        <v>9</v>
      </c>
      <c r="I1481" t="s">
        <v>10</v>
      </c>
      <c r="J1481" t="s">
        <v>11</v>
      </c>
      <c r="K1481"/>
      <c r="L1481"/>
      <c r="M1481" s="12"/>
      <c r="N1481" s="12"/>
      <c r="O1481" s="12"/>
      <c r="P1481" s="12">
        <v>692.72</v>
      </c>
      <c r="Q1481" s="12">
        <v>4225.92</v>
      </c>
      <c r="R1481" s="12">
        <v>8389.2000000000007</v>
      </c>
      <c r="S1481" s="12">
        <v>8400.4500000000007</v>
      </c>
      <c r="T1481" s="12"/>
      <c r="U1481" s="12">
        <v>6380.3</v>
      </c>
      <c r="V1481" s="12"/>
      <c r="W1481" s="12"/>
      <c r="X1481" s="12"/>
      <c r="Y1481" s="12">
        <f t="shared" si="25"/>
        <v>28088.59</v>
      </c>
    </row>
    <row r="1482" spans="1:25" ht="15">
      <c r="A1482">
        <v>2013</v>
      </c>
      <c r="B1482" t="s">
        <v>573</v>
      </c>
      <c r="C1482" t="s">
        <v>32</v>
      </c>
      <c r="D1482" t="s">
        <v>9</v>
      </c>
      <c r="E1482" t="s">
        <v>10</v>
      </c>
      <c r="F1482" t="s">
        <v>59</v>
      </c>
      <c r="G1482" t="s">
        <v>442</v>
      </c>
      <c r="H1482" t="s">
        <v>9</v>
      </c>
      <c r="I1482" t="s">
        <v>10</v>
      </c>
      <c r="J1482" t="s">
        <v>15</v>
      </c>
      <c r="K1482"/>
      <c r="L1482"/>
      <c r="M1482" s="12"/>
      <c r="N1482" s="12">
        <v>50.45</v>
      </c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>
        <f t="shared" si="25"/>
        <v>50.45</v>
      </c>
    </row>
    <row r="1483" spans="1:25" ht="15">
      <c r="A1483">
        <v>2013</v>
      </c>
      <c r="B1483" t="s">
        <v>573</v>
      </c>
      <c r="C1483" t="s">
        <v>32</v>
      </c>
      <c r="D1483" t="s">
        <v>9</v>
      </c>
      <c r="E1483" t="s">
        <v>10</v>
      </c>
      <c r="F1483" t="s">
        <v>66</v>
      </c>
      <c r="G1483" t="s">
        <v>442</v>
      </c>
      <c r="H1483" t="s">
        <v>9</v>
      </c>
      <c r="I1483" t="s">
        <v>10</v>
      </c>
      <c r="J1483" t="s">
        <v>15</v>
      </c>
      <c r="K1483"/>
      <c r="L1483"/>
      <c r="M1483" s="12"/>
      <c r="N1483" s="12"/>
      <c r="O1483" s="12">
        <v>3579.14</v>
      </c>
      <c r="P1483" s="12">
        <v>2733.14</v>
      </c>
      <c r="Q1483" s="12">
        <v>4193.66</v>
      </c>
      <c r="R1483" s="12">
        <v>4908.2</v>
      </c>
      <c r="S1483" s="12">
        <v>3339.48</v>
      </c>
      <c r="T1483" s="12">
        <v>5404.04</v>
      </c>
      <c r="U1483" s="12">
        <v>4937.04</v>
      </c>
      <c r="V1483" s="12"/>
      <c r="W1483" s="12">
        <v>5500</v>
      </c>
      <c r="X1483" s="12">
        <v>5500</v>
      </c>
      <c r="Y1483" s="12">
        <f t="shared" si="25"/>
        <v>40094.699999999997</v>
      </c>
    </row>
    <row r="1484" spans="1:25" ht="15">
      <c r="A1484">
        <v>2013</v>
      </c>
      <c r="B1484" t="s">
        <v>573</v>
      </c>
      <c r="C1484" t="s">
        <v>32</v>
      </c>
      <c r="D1484" t="s">
        <v>9</v>
      </c>
      <c r="E1484" t="s">
        <v>10</v>
      </c>
      <c r="F1484" t="s">
        <v>66</v>
      </c>
      <c r="G1484" t="s">
        <v>442</v>
      </c>
      <c r="H1484" t="s">
        <v>9</v>
      </c>
      <c r="I1484" t="s">
        <v>10</v>
      </c>
      <c r="J1484" t="s">
        <v>11</v>
      </c>
      <c r="K1484"/>
      <c r="L1484"/>
      <c r="M1484" s="12"/>
      <c r="N1484" s="12"/>
      <c r="O1484" s="12"/>
      <c r="P1484" s="12"/>
      <c r="Q1484" s="12"/>
      <c r="R1484" s="12"/>
      <c r="S1484" s="12">
        <v>1963.01</v>
      </c>
      <c r="T1484" s="12"/>
      <c r="U1484" s="12"/>
      <c r="V1484" s="12"/>
      <c r="W1484" s="12"/>
      <c r="X1484" s="12"/>
      <c r="Y1484" s="12">
        <f t="shared" si="25"/>
        <v>1963.01</v>
      </c>
    </row>
    <row r="1485" spans="1:25" ht="15">
      <c r="A1485">
        <v>2013</v>
      </c>
      <c r="B1485" t="s">
        <v>573</v>
      </c>
      <c r="C1485" t="s">
        <v>32</v>
      </c>
      <c r="D1485" t="s">
        <v>9</v>
      </c>
      <c r="E1485" t="s">
        <v>10</v>
      </c>
      <c r="F1485" t="s">
        <v>130</v>
      </c>
      <c r="G1485" t="s">
        <v>442</v>
      </c>
      <c r="H1485" t="s">
        <v>9</v>
      </c>
      <c r="I1485" t="s">
        <v>10</v>
      </c>
      <c r="J1485" t="s">
        <v>325</v>
      </c>
      <c r="K1485"/>
      <c r="L1485"/>
      <c r="M1485" s="12"/>
      <c r="N1485" s="12"/>
      <c r="O1485" s="12"/>
      <c r="P1485" s="12"/>
      <c r="Q1485" s="12"/>
      <c r="R1485" s="12"/>
      <c r="S1485" s="12">
        <v>865.25</v>
      </c>
      <c r="T1485" s="12"/>
      <c r="U1485" s="12"/>
      <c r="V1485" s="12"/>
      <c r="W1485" s="12"/>
      <c r="X1485" s="12"/>
      <c r="Y1485" s="12">
        <f t="shared" si="25"/>
        <v>865.25</v>
      </c>
    </row>
    <row r="1486" spans="1:25" ht="15">
      <c r="A1486">
        <v>2013</v>
      </c>
      <c r="B1486" t="s">
        <v>573</v>
      </c>
      <c r="C1486" t="s">
        <v>32</v>
      </c>
      <c r="D1486" t="s">
        <v>9</v>
      </c>
      <c r="E1486" t="s">
        <v>10</v>
      </c>
      <c r="F1486" t="s">
        <v>33</v>
      </c>
      <c r="G1486" t="s">
        <v>442</v>
      </c>
      <c r="H1486" t="s">
        <v>9</v>
      </c>
      <c r="I1486" t="s">
        <v>10</v>
      </c>
      <c r="J1486" t="s">
        <v>15</v>
      </c>
      <c r="K1486"/>
      <c r="L1486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>
        <v>200</v>
      </c>
      <c r="X1486" s="12">
        <v>200</v>
      </c>
      <c r="Y1486" s="12">
        <f t="shared" si="25"/>
        <v>400</v>
      </c>
    </row>
    <row r="1487" spans="1:25" ht="15">
      <c r="A1487">
        <v>2013</v>
      </c>
      <c r="B1487" t="s">
        <v>573</v>
      </c>
      <c r="C1487" t="s">
        <v>32</v>
      </c>
      <c r="D1487" t="s">
        <v>9</v>
      </c>
      <c r="E1487" t="s">
        <v>10</v>
      </c>
      <c r="F1487" t="s">
        <v>151</v>
      </c>
      <c r="G1487" t="s">
        <v>442</v>
      </c>
      <c r="H1487" t="s">
        <v>9</v>
      </c>
      <c r="I1487" t="s">
        <v>10</v>
      </c>
      <c r="J1487" t="s">
        <v>15</v>
      </c>
      <c r="K1487"/>
      <c r="L1487"/>
      <c r="M1487" s="12">
        <v>1227.28</v>
      </c>
      <c r="N1487" s="12">
        <v>2278.5700000000002</v>
      </c>
      <c r="O1487" s="12">
        <v>1215.83</v>
      </c>
      <c r="P1487" s="12">
        <v>4892.8599999999997</v>
      </c>
      <c r="Q1487" s="12">
        <v>300.01</v>
      </c>
      <c r="R1487" s="12">
        <v>405.74</v>
      </c>
      <c r="S1487" s="12">
        <v>432.67</v>
      </c>
      <c r="T1487" s="12">
        <v>220.24</v>
      </c>
      <c r="U1487" s="12">
        <v>3371.03</v>
      </c>
      <c r="V1487" s="12">
        <v>4581</v>
      </c>
      <c r="W1487" s="12">
        <v>2000</v>
      </c>
      <c r="X1487" s="12">
        <v>2000</v>
      </c>
      <c r="Y1487" s="12">
        <f t="shared" si="25"/>
        <v>22925.230000000003</v>
      </c>
    </row>
    <row r="1488" spans="1:25" ht="15">
      <c r="A1488">
        <v>2013</v>
      </c>
      <c r="B1488" t="s">
        <v>573</v>
      </c>
      <c r="C1488" t="s">
        <v>32</v>
      </c>
      <c r="D1488" t="s">
        <v>9</v>
      </c>
      <c r="E1488" t="s">
        <v>10</v>
      </c>
      <c r="F1488" t="s">
        <v>151</v>
      </c>
      <c r="G1488" t="s">
        <v>442</v>
      </c>
      <c r="H1488" t="s">
        <v>9</v>
      </c>
      <c r="I1488" t="s">
        <v>10</v>
      </c>
      <c r="J1488" t="s">
        <v>384</v>
      </c>
      <c r="K1488"/>
      <c r="L1488"/>
      <c r="M1488" s="12"/>
      <c r="N1488" s="12"/>
      <c r="O1488" s="12"/>
      <c r="P1488" s="12">
        <v>5568.9</v>
      </c>
      <c r="Q1488" s="12">
        <v>17853.16</v>
      </c>
      <c r="R1488" s="12">
        <v>33805.699999999997</v>
      </c>
      <c r="S1488" s="12">
        <v>20169.310000000001</v>
      </c>
      <c r="T1488" s="12">
        <v>7359.68</v>
      </c>
      <c r="U1488" s="12">
        <v>4594.3999999999996</v>
      </c>
      <c r="V1488" s="12">
        <v>18765.2</v>
      </c>
      <c r="W1488" s="12">
        <v>35000</v>
      </c>
      <c r="X1488" s="12">
        <v>35000</v>
      </c>
      <c r="Y1488" s="12">
        <f t="shared" si="25"/>
        <v>178116.34999999998</v>
      </c>
    </row>
    <row r="1489" spans="1:25" ht="15">
      <c r="A1489">
        <v>2013</v>
      </c>
      <c r="B1489" t="s">
        <v>573</v>
      </c>
      <c r="C1489" t="s">
        <v>32</v>
      </c>
      <c r="D1489" t="s">
        <v>9</v>
      </c>
      <c r="E1489" t="s">
        <v>10</v>
      </c>
      <c r="F1489" t="s">
        <v>8</v>
      </c>
      <c r="G1489" t="s">
        <v>439</v>
      </c>
      <c r="H1489" t="s">
        <v>9</v>
      </c>
      <c r="I1489" t="s">
        <v>10</v>
      </c>
      <c r="J1489" t="s">
        <v>14</v>
      </c>
      <c r="K1489"/>
      <c r="L1489"/>
      <c r="M1489" s="12">
        <v>81860.600000000006</v>
      </c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>
        <f t="shared" si="25"/>
        <v>81860.600000000006</v>
      </c>
    </row>
    <row r="1490" spans="1:25" ht="15">
      <c r="A1490">
        <v>2013</v>
      </c>
      <c r="B1490" t="s">
        <v>573</v>
      </c>
      <c r="C1490" t="s">
        <v>32</v>
      </c>
      <c r="D1490" t="s">
        <v>9</v>
      </c>
      <c r="E1490" t="s">
        <v>10</v>
      </c>
      <c r="F1490" t="s">
        <v>8</v>
      </c>
      <c r="G1490" t="s">
        <v>439</v>
      </c>
      <c r="H1490" t="s">
        <v>9</v>
      </c>
      <c r="I1490" t="s">
        <v>10</v>
      </c>
      <c r="J1490" t="s">
        <v>15</v>
      </c>
      <c r="K1490"/>
      <c r="L1490"/>
      <c r="M1490" s="12">
        <v>16534.580000000002</v>
      </c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>
        <f t="shared" si="25"/>
        <v>16534.580000000002</v>
      </c>
    </row>
    <row r="1491" spans="1:25" ht="15">
      <c r="A1491">
        <v>2013</v>
      </c>
      <c r="B1491" t="s">
        <v>573</v>
      </c>
      <c r="C1491" t="s">
        <v>32</v>
      </c>
      <c r="D1491" t="s">
        <v>9</v>
      </c>
      <c r="E1491" t="s">
        <v>10</v>
      </c>
      <c r="F1491" t="s">
        <v>186</v>
      </c>
      <c r="G1491" t="s">
        <v>442</v>
      </c>
      <c r="H1491" t="s">
        <v>9</v>
      </c>
      <c r="I1491" t="s">
        <v>10</v>
      </c>
      <c r="J1491" t="s">
        <v>15</v>
      </c>
      <c r="K1491"/>
      <c r="L1491"/>
      <c r="M1491" s="12">
        <v>594.61</v>
      </c>
      <c r="N1491" s="12"/>
      <c r="O1491" s="12">
        <v>873.66</v>
      </c>
      <c r="P1491" s="12">
        <v>641</v>
      </c>
      <c r="Q1491" s="12">
        <v>745.93</v>
      </c>
      <c r="R1491" s="12">
        <v>115.58</v>
      </c>
      <c r="S1491" s="12">
        <v>228.24</v>
      </c>
      <c r="T1491" s="12">
        <v>459.02</v>
      </c>
      <c r="U1491" s="12">
        <v>59.87</v>
      </c>
      <c r="V1491" s="12">
        <v>294</v>
      </c>
      <c r="W1491" s="12">
        <v>1000</v>
      </c>
      <c r="X1491" s="12">
        <v>1300</v>
      </c>
      <c r="Y1491" s="12">
        <f t="shared" ref="Y1491:Y1554" si="26">SUM(M1491:X1491)</f>
        <v>6311.91</v>
      </c>
    </row>
    <row r="1492" spans="1:25" ht="15">
      <c r="A1492">
        <v>2013</v>
      </c>
      <c r="B1492" t="s">
        <v>573</v>
      </c>
      <c r="C1492" t="s">
        <v>32</v>
      </c>
      <c r="D1492" t="s">
        <v>9</v>
      </c>
      <c r="E1492" t="s">
        <v>10</v>
      </c>
      <c r="F1492" t="s">
        <v>208</v>
      </c>
      <c r="G1492" t="s">
        <v>439</v>
      </c>
      <c r="H1492" t="s">
        <v>9</v>
      </c>
      <c r="I1492" t="s">
        <v>10</v>
      </c>
      <c r="J1492" t="s">
        <v>598</v>
      </c>
      <c r="K1492"/>
      <c r="L149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>
        <v>4536</v>
      </c>
      <c r="W1492" s="12"/>
      <c r="X1492" s="12"/>
      <c r="Y1492" s="12">
        <f t="shared" si="26"/>
        <v>4536</v>
      </c>
    </row>
    <row r="1493" spans="1:25" ht="15">
      <c r="A1493">
        <v>2013</v>
      </c>
      <c r="B1493" t="s">
        <v>574</v>
      </c>
      <c r="C1493" t="s">
        <v>32</v>
      </c>
      <c r="D1493" t="s">
        <v>152</v>
      </c>
      <c r="E1493" t="s">
        <v>153</v>
      </c>
      <c r="F1493" t="s">
        <v>595</v>
      </c>
      <c r="G1493" t="s">
        <v>442</v>
      </c>
      <c r="H1493" t="s">
        <v>152</v>
      </c>
      <c r="I1493" t="s">
        <v>153</v>
      </c>
      <c r="J1493" t="s">
        <v>153</v>
      </c>
      <c r="K1493"/>
      <c r="L1493"/>
      <c r="M1493" s="12"/>
      <c r="N1493" s="12">
        <v>1375.65</v>
      </c>
      <c r="O1493" s="12">
        <v>3459.17</v>
      </c>
      <c r="P1493" s="12"/>
      <c r="Q1493" s="12"/>
      <c r="R1493" s="12"/>
      <c r="S1493" s="12"/>
      <c r="T1493" s="12"/>
      <c r="U1493" s="12"/>
      <c r="V1493" s="12"/>
      <c r="W1493" s="12"/>
      <c r="X1493" s="12"/>
      <c r="Y1493" s="12">
        <f t="shared" si="26"/>
        <v>4834.82</v>
      </c>
    </row>
    <row r="1494" spans="1:25" ht="15">
      <c r="A1494">
        <v>2013</v>
      </c>
      <c r="B1494" t="s">
        <v>574</v>
      </c>
      <c r="C1494" t="s">
        <v>32</v>
      </c>
      <c r="D1494" t="s">
        <v>152</v>
      </c>
      <c r="E1494" t="s">
        <v>153</v>
      </c>
      <c r="F1494" t="s">
        <v>245</v>
      </c>
      <c r="G1494" t="s">
        <v>245</v>
      </c>
      <c r="H1494" t="s">
        <v>152</v>
      </c>
      <c r="I1494" t="s">
        <v>153</v>
      </c>
      <c r="J1494" t="s">
        <v>153</v>
      </c>
      <c r="K1494"/>
      <c r="L1494"/>
      <c r="M1494" s="12">
        <v>53801.17</v>
      </c>
      <c r="N1494" s="12">
        <v>27228.34</v>
      </c>
      <c r="O1494" s="12">
        <v>16745</v>
      </c>
      <c r="P1494" s="12">
        <v>28518</v>
      </c>
      <c r="Q1494" s="12">
        <v>71640</v>
      </c>
      <c r="R1494" s="12">
        <v>76315</v>
      </c>
      <c r="S1494" s="12">
        <v>66494</v>
      </c>
      <c r="T1494" s="12">
        <v>44493</v>
      </c>
      <c r="U1494" s="12">
        <v>21219</v>
      </c>
      <c r="V1494" s="12">
        <v>10969</v>
      </c>
      <c r="W1494" s="12">
        <v>25250</v>
      </c>
      <c r="X1494" s="12">
        <v>25500</v>
      </c>
      <c r="Y1494" s="12">
        <f t="shared" si="26"/>
        <v>468172.51</v>
      </c>
    </row>
    <row r="1495" spans="1:25" ht="15">
      <c r="A1495">
        <v>2013</v>
      </c>
      <c r="B1495" t="s">
        <v>574</v>
      </c>
      <c r="C1495" t="s">
        <v>32</v>
      </c>
      <c r="D1495" t="s">
        <v>152</v>
      </c>
      <c r="E1495" t="s">
        <v>153</v>
      </c>
      <c r="F1495" t="s">
        <v>66</v>
      </c>
      <c r="G1495" t="s">
        <v>442</v>
      </c>
      <c r="H1495" t="s">
        <v>152</v>
      </c>
      <c r="I1495" t="s">
        <v>153</v>
      </c>
      <c r="J1495" t="s">
        <v>153</v>
      </c>
      <c r="K1495"/>
      <c r="L1495"/>
      <c r="M1495" s="12">
        <v>5707.27</v>
      </c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>
        <f t="shared" si="26"/>
        <v>5707.27</v>
      </c>
    </row>
    <row r="1496" spans="1:25" ht="15">
      <c r="A1496">
        <v>2013</v>
      </c>
      <c r="B1496" t="s">
        <v>574</v>
      </c>
      <c r="C1496" t="s">
        <v>32</v>
      </c>
      <c r="D1496" t="s">
        <v>152</v>
      </c>
      <c r="E1496" t="s">
        <v>153</v>
      </c>
      <c r="F1496" t="s">
        <v>151</v>
      </c>
      <c r="G1496" t="s">
        <v>442</v>
      </c>
      <c r="H1496" t="s">
        <v>152</v>
      </c>
      <c r="I1496" t="s">
        <v>153</v>
      </c>
      <c r="J1496" t="s">
        <v>153</v>
      </c>
      <c r="K1496"/>
      <c r="L1496"/>
      <c r="M1496" s="12">
        <v>726115.22</v>
      </c>
      <c r="N1496" s="12">
        <v>710085.81</v>
      </c>
      <c r="O1496" s="12">
        <v>931407.42</v>
      </c>
      <c r="P1496" s="12">
        <v>1270737</v>
      </c>
      <c r="Q1496" s="12">
        <v>2122294.92</v>
      </c>
      <c r="R1496" s="12">
        <v>2821544.12</v>
      </c>
      <c r="S1496" s="12">
        <v>2138350.91</v>
      </c>
      <c r="T1496" s="12">
        <v>2030786.76</v>
      </c>
      <c r="U1496" s="12">
        <v>1923386.25</v>
      </c>
      <c r="V1496" s="12">
        <v>766938.97</v>
      </c>
      <c r="W1496" s="12">
        <v>1445215</v>
      </c>
      <c r="X1496" s="12">
        <v>1400225</v>
      </c>
      <c r="Y1496" s="12">
        <f t="shared" si="26"/>
        <v>18287087.380000003</v>
      </c>
    </row>
    <row r="1497" spans="1:25" ht="15">
      <c r="A1497">
        <v>2013</v>
      </c>
      <c r="B1497" t="s">
        <v>574</v>
      </c>
      <c r="C1497" t="s">
        <v>32</v>
      </c>
      <c r="D1497" t="s">
        <v>152</v>
      </c>
      <c r="E1497" t="s">
        <v>153</v>
      </c>
      <c r="F1497" t="s">
        <v>193</v>
      </c>
      <c r="G1497" t="s">
        <v>442</v>
      </c>
      <c r="H1497" t="s">
        <v>152</v>
      </c>
      <c r="I1497" t="s">
        <v>153</v>
      </c>
      <c r="J1497" t="s">
        <v>153</v>
      </c>
      <c r="K1497"/>
      <c r="L1497"/>
      <c r="M1497" s="12">
        <v>472.36</v>
      </c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>
        <f t="shared" si="26"/>
        <v>472.36</v>
      </c>
    </row>
    <row r="1498" spans="1:25" ht="15">
      <c r="A1498">
        <v>2013</v>
      </c>
      <c r="B1498" t="s">
        <v>574</v>
      </c>
      <c r="C1498" t="s">
        <v>32</v>
      </c>
      <c r="D1498" t="s">
        <v>152</v>
      </c>
      <c r="E1498" t="s">
        <v>153</v>
      </c>
      <c r="F1498" t="s">
        <v>186</v>
      </c>
      <c r="G1498" t="s">
        <v>442</v>
      </c>
      <c r="H1498" t="s">
        <v>152</v>
      </c>
      <c r="I1498" t="s">
        <v>153</v>
      </c>
      <c r="J1498" t="s">
        <v>153</v>
      </c>
      <c r="K1498"/>
      <c r="L1498"/>
      <c r="M1498" s="12">
        <v>63.74</v>
      </c>
      <c r="N1498" s="12"/>
      <c r="O1498" s="12"/>
      <c r="P1498" s="12">
        <v>96.49</v>
      </c>
      <c r="Q1498" s="12"/>
      <c r="R1498" s="12"/>
      <c r="S1498" s="12"/>
      <c r="T1498" s="12"/>
      <c r="U1498" s="12"/>
      <c r="V1498" s="12"/>
      <c r="W1498" s="12"/>
      <c r="X1498" s="12"/>
      <c r="Y1498" s="12">
        <f t="shared" si="26"/>
        <v>160.22999999999999</v>
      </c>
    </row>
    <row r="1499" spans="1:25" ht="15">
      <c r="A1499">
        <v>2013</v>
      </c>
      <c r="B1499" t="s">
        <v>449</v>
      </c>
      <c r="C1499" t="s">
        <v>449</v>
      </c>
      <c r="D1499" t="s">
        <v>449</v>
      </c>
      <c r="E1499" t="s">
        <v>449</v>
      </c>
      <c r="F1499" t="s">
        <v>449</v>
      </c>
      <c r="G1499" t="s">
        <v>245</v>
      </c>
      <c r="H1499" t="s">
        <v>449</v>
      </c>
      <c r="I1499" t="s">
        <v>449</v>
      </c>
      <c r="J1499" t="s">
        <v>449</v>
      </c>
      <c r="K1499"/>
      <c r="L1499"/>
      <c r="M1499" s="12">
        <v>5098721.4300463917</v>
      </c>
      <c r="N1499" s="12">
        <v>7552081.04285469</v>
      </c>
      <c r="O1499" s="12">
        <v>7518949.8818210866</v>
      </c>
      <c r="P1499" s="12">
        <v>16267190.024404975</v>
      </c>
      <c r="Q1499" s="12">
        <v>36271598.743488416</v>
      </c>
      <c r="R1499" s="12">
        <v>35208825.173500396</v>
      </c>
      <c r="S1499" s="12">
        <v>32194175.710036445</v>
      </c>
      <c r="T1499" s="12">
        <v>21279791.503981907</v>
      </c>
      <c r="U1499" s="12">
        <v>5694135.176107333</v>
      </c>
      <c r="V1499" s="12">
        <v>4848468.2110329</v>
      </c>
      <c r="W1499" s="12">
        <v>6749952.6425885605</v>
      </c>
      <c r="X1499" s="12">
        <v>5204592.1164005389</v>
      </c>
      <c r="Y1499" s="12">
        <v>183888481.65626368</v>
      </c>
    </row>
    <row r="1500" spans="1:25" ht="15">
      <c r="A1500">
        <v>2013</v>
      </c>
      <c r="B1500" t="s">
        <v>449</v>
      </c>
      <c r="C1500" t="s">
        <v>449</v>
      </c>
      <c r="D1500" t="s">
        <v>449</v>
      </c>
      <c r="E1500" t="s">
        <v>449</v>
      </c>
      <c r="F1500" t="s">
        <v>449</v>
      </c>
      <c r="G1500" t="s">
        <v>442</v>
      </c>
      <c r="H1500" t="s">
        <v>449</v>
      </c>
      <c r="I1500" t="s">
        <v>449</v>
      </c>
      <c r="J1500" t="s">
        <v>449</v>
      </c>
      <c r="K1500"/>
      <c r="L1500"/>
      <c r="M1500" s="12">
        <v>9682841.9701686446</v>
      </c>
      <c r="N1500" s="12">
        <v>10668057.273107486</v>
      </c>
      <c r="O1500" s="12">
        <v>10986860.65376669</v>
      </c>
      <c r="P1500" s="12">
        <v>13539147.262584731</v>
      </c>
      <c r="Q1500" s="12">
        <v>22183179.094303284</v>
      </c>
      <c r="R1500" s="12">
        <v>27943512.042460632</v>
      </c>
      <c r="S1500" s="12">
        <v>21165611.744658589</v>
      </c>
      <c r="T1500" s="12">
        <v>18577624.800866153</v>
      </c>
      <c r="U1500" s="12">
        <v>11711882.847594064</v>
      </c>
      <c r="V1500" s="12">
        <v>10356428.832164763</v>
      </c>
      <c r="W1500" s="12">
        <v>9344536.5614109617</v>
      </c>
      <c r="X1500" s="12">
        <v>12160498.338006821</v>
      </c>
      <c r="Y1500" s="12">
        <v>178320181.42109281</v>
      </c>
    </row>
    <row r="1501" spans="1:25" ht="15">
      <c r="A1501">
        <v>2013</v>
      </c>
      <c r="B1501" t="s">
        <v>452</v>
      </c>
      <c r="C1501" t="s">
        <v>452</v>
      </c>
      <c r="D1501" t="s">
        <v>452</v>
      </c>
      <c r="E1501" t="s">
        <v>452</v>
      </c>
      <c r="F1501" t="s">
        <v>452</v>
      </c>
      <c r="G1501" t="s">
        <v>245</v>
      </c>
      <c r="H1501" t="s">
        <v>452</v>
      </c>
      <c r="I1501" t="s">
        <v>452</v>
      </c>
      <c r="J1501" t="s">
        <v>452</v>
      </c>
      <c r="K1501"/>
      <c r="L1501"/>
      <c r="M1501" s="12">
        <v>201950.11400000006</v>
      </c>
      <c r="N1501" s="12">
        <v>283176.73700000002</v>
      </c>
      <c r="O1501" s="12">
        <v>274871.391</v>
      </c>
      <c r="P1501" s="12">
        <v>503953.22100000031</v>
      </c>
      <c r="Q1501" s="12">
        <v>1041816.0839999989</v>
      </c>
      <c r="R1501" s="12">
        <v>1019075.1009999993</v>
      </c>
      <c r="S1501" s="12">
        <v>883950.88699999894</v>
      </c>
      <c r="T1501" s="12">
        <v>625779.01</v>
      </c>
      <c r="U1501" s="12">
        <v>227469.14000000007</v>
      </c>
      <c r="V1501" s="12">
        <v>197482.21300000002</v>
      </c>
      <c r="W1501" s="12">
        <v>272557.15047210827</v>
      </c>
      <c r="X1501" s="12">
        <v>193550.58733626545</v>
      </c>
      <c r="Y1501" s="12">
        <f>SUM(M1501:X1501)</f>
        <v>5725631.635808371</v>
      </c>
    </row>
    <row r="1502" spans="1:25" ht="15">
      <c r="A1502">
        <v>2013</v>
      </c>
      <c r="B1502" t="s">
        <v>452</v>
      </c>
      <c r="C1502" t="s">
        <v>452</v>
      </c>
      <c r="D1502" t="s">
        <v>452</v>
      </c>
      <c r="E1502" t="s">
        <v>452</v>
      </c>
      <c r="F1502" t="s">
        <v>452</v>
      </c>
      <c r="G1502" t="s">
        <v>442</v>
      </c>
      <c r="H1502" t="s">
        <v>452</v>
      </c>
      <c r="I1502" t="s">
        <v>452</v>
      </c>
      <c r="J1502" t="s">
        <v>452</v>
      </c>
      <c r="K1502"/>
      <c r="L1502"/>
      <c r="M1502" s="12">
        <v>319577.08600000362</v>
      </c>
      <c r="N1502" s="12">
        <v>357009.40600000508</v>
      </c>
      <c r="O1502" s="12">
        <v>369501.99300000392</v>
      </c>
      <c r="P1502" s="12">
        <v>418726.95600000391</v>
      </c>
      <c r="Q1502" s="12">
        <v>588462.39599997899</v>
      </c>
      <c r="R1502" s="12">
        <v>812578.93000000156</v>
      </c>
      <c r="S1502" s="12">
        <v>620226.66899996751</v>
      </c>
      <c r="T1502" s="12">
        <v>538918.94300000276</v>
      </c>
      <c r="U1502" s="12">
        <v>387036.77000000415</v>
      </c>
      <c r="V1502" s="12">
        <v>319571.05400000443</v>
      </c>
      <c r="W1502" s="12">
        <v>364569.54233080207</v>
      </c>
      <c r="X1502" s="12">
        <v>383059.65672603116</v>
      </c>
      <c r="Y1502" s="12">
        <f>SUM(M1502:X1502)</f>
        <v>5479239.4020568095</v>
      </c>
    </row>
    <row r="1503" spans="1:25" ht="15">
      <c r="A1503">
        <v>2013</v>
      </c>
      <c r="B1503" t="s">
        <v>573</v>
      </c>
      <c r="C1503" t="s">
        <v>16</v>
      </c>
      <c r="D1503" t="s">
        <v>7</v>
      </c>
      <c r="E1503" t="s">
        <v>12</v>
      </c>
      <c r="F1503" t="s">
        <v>227</v>
      </c>
      <c r="G1503" t="s">
        <v>439</v>
      </c>
      <c r="H1503" t="s">
        <v>12</v>
      </c>
      <c r="I1503" t="s">
        <v>12</v>
      </c>
      <c r="J1503" t="s">
        <v>13</v>
      </c>
      <c r="K1503"/>
      <c r="L1503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>
        <v>64.150000000000006</v>
      </c>
      <c r="W1503" s="12"/>
      <c r="X1503" s="12"/>
      <c r="Y1503" s="12">
        <f t="shared" si="26"/>
        <v>64.150000000000006</v>
      </c>
    </row>
    <row r="1504" spans="1:25" ht="15">
      <c r="A1504">
        <v>2013</v>
      </c>
      <c r="B1504" t="s">
        <v>573</v>
      </c>
      <c r="C1504" t="s">
        <v>16</v>
      </c>
      <c r="D1504" t="s">
        <v>7</v>
      </c>
      <c r="E1504" t="s">
        <v>12</v>
      </c>
      <c r="F1504" t="s">
        <v>237</v>
      </c>
      <c r="G1504" t="s">
        <v>439</v>
      </c>
      <c r="H1504" t="s">
        <v>12</v>
      </c>
      <c r="I1504" t="s">
        <v>12</v>
      </c>
      <c r="J1504" t="s">
        <v>13</v>
      </c>
      <c r="K1504"/>
      <c r="L1504"/>
      <c r="M1504" s="12"/>
      <c r="N1504" s="12"/>
      <c r="O1504" s="12"/>
      <c r="P1504" s="12"/>
      <c r="Q1504" s="12"/>
      <c r="R1504" s="12"/>
      <c r="S1504" s="12"/>
      <c r="T1504" s="12"/>
      <c r="U1504" s="12">
        <v>269.69</v>
      </c>
      <c r="V1504" s="12"/>
      <c r="W1504" s="12"/>
      <c r="X1504" s="12"/>
      <c r="Y1504" s="12">
        <f t="shared" si="26"/>
        <v>269.69</v>
      </c>
    </row>
    <row r="1505" spans="1:25" ht="15">
      <c r="A1505">
        <v>2013</v>
      </c>
      <c r="B1505" t="s">
        <v>573</v>
      </c>
      <c r="C1505" t="s">
        <v>16</v>
      </c>
      <c r="D1505" t="s">
        <v>7</v>
      </c>
      <c r="E1505" t="s">
        <v>12</v>
      </c>
      <c r="F1505" t="s">
        <v>232</v>
      </c>
      <c r="G1505" t="s">
        <v>439</v>
      </c>
      <c r="H1505" t="s">
        <v>12</v>
      </c>
      <c r="I1505" t="s">
        <v>12</v>
      </c>
      <c r="J1505" t="s">
        <v>13</v>
      </c>
      <c r="K1505"/>
      <c r="L1505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>
        <v>204.21</v>
      </c>
      <c r="W1505" s="12"/>
      <c r="X1505" s="12"/>
      <c r="Y1505" s="12">
        <f t="shared" si="26"/>
        <v>204.21</v>
      </c>
    </row>
    <row r="1506" spans="1:25" ht="15">
      <c r="A1506">
        <v>2013</v>
      </c>
      <c r="B1506" t="s">
        <v>573</v>
      </c>
      <c r="C1506" t="s">
        <v>16</v>
      </c>
      <c r="D1506" t="s">
        <v>16</v>
      </c>
      <c r="E1506" t="s">
        <v>25</v>
      </c>
      <c r="F1506" t="s">
        <v>227</v>
      </c>
      <c r="G1506" t="s">
        <v>439</v>
      </c>
      <c r="H1506" t="s">
        <v>25</v>
      </c>
      <c r="I1506" t="s">
        <v>25</v>
      </c>
      <c r="J1506" t="s">
        <v>26</v>
      </c>
      <c r="K1506"/>
      <c r="L1506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>
        <v>70</v>
      </c>
      <c r="X1506" s="12">
        <v>70</v>
      </c>
      <c r="Y1506" s="12">
        <f t="shared" si="26"/>
        <v>140</v>
      </c>
    </row>
    <row r="1507" spans="1:25" ht="15">
      <c r="A1507">
        <v>2013</v>
      </c>
      <c r="B1507" t="s">
        <v>573</v>
      </c>
      <c r="C1507" t="s">
        <v>16</v>
      </c>
      <c r="D1507" t="s">
        <v>16</v>
      </c>
      <c r="E1507" t="s">
        <v>25</v>
      </c>
      <c r="F1507" t="s">
        <v>232</v>
      </c>
      <c r="G1507" t="s">
        <v>439</v>
      </c>
      <c r="H1507" t="s">
        <v>25</v>
      </c>
      <c r="I1507" t="s">
        <v>25</v>
      </c>
      <c r="J1507" t="s">
        <v>26</v>
      </c>
      <c r="K1507"/>
      <c r="L1507"/>
      <c r="M1507" s="12">
        <v>800</v>
      </c>
      <c r="N1507" s="12">
        <v>800</v>
      </c>
      <c r="O1507" s="12">
        <v>800</v>
      </c>
      <c r="P1507" s="12">
        <v>800</v>
      </c>
      <c r="Q1507" s="12">
        <v>800</v>
      </c>
      <c r="R1507" s="12"/>
      <c r="S1507" s="12"/>
      <c r="T1507" s="12"/>
      <c r="U1507" s="12"/>
      <c r="V1507" s="12"/>
      <c r="W1507" s="12"/>
      <c r="X1507" s="12"/>
      <c r="Y1507" s="12">
        <f t="shared" si="26"/>
        <v>4000</v>
      </c>
    </row>
    <row r="1508" spans="1:25" ht="15">
      <c r="A1508">
        <v>2013</v>
      </c>
      <c r="B1508" t="s">
        <v>573</v>
      </c>
      <c r="C1508" t="s">
        <v>16</v>
      </c>
      <c r="D1508" t="s">
        <v>16</v>
      </c>
      <c r="E1508" t="s">
        <v>25</v>
      </c>
      <c r="F1508" t="s">
        <v>204</v>
      </c>
      <c r="G1508" t="s">
        <v>439</v>
      </c>
      <c r="H1508" t="s">
        <v>25</v>
      </c>
      <c r="I1508" t="s">
        <v>25</v>
      </c>
      <c r="J1508" t="s">
        <v>26</v>
      </c>
      <c r="K1508"/>
      <c r="L1508"/>
      <c r="M1508" s="12">
        <v>650</v>
      </c>
      <c r="N1508" s="12">
        <v>650</v>
      </c>
      <c r="O1508" s="12">
        <v>650</v>
      </c>
      <c r="P1508" s="12">
        <v>650</v>
      </c>
      <c r="Q1508" s="12">
        <v>650</v>
      </c>
      <c r="R1508" s="12"/>
      <c r="S1508" s="12"/>
      <c r="T1508" s="12"/>
      <c r="U1508" s="12"/>
      <c r="V1508" s="12"/>
      <c r="W1508" s="12"/>
      <c r="X1508" s="12"/>
      <c r="Y1508" s="12">
        <f t="shared" si="26"/>
        <v>3250</v>
      </c>
    </row>
    <row r="1509" spans="1:25" ht="15">
      <c r="A1509">
        <v>2013</v>
      </c>
      <c r="B1509" t="s">
        <v>573</v>
      </c>
      <c r="C1509" t="s">
        <v>16</v>
      </c>
      <c r="D1509" t="s">
        <v>16</v>
      </c>
      <c r="E1509" t="s">
        <v>25</v>
      </c>
      <c r="F1509" t="s">
        <v>17</v>
      </c>
      <c r="G1509" t="s">
        <v>439</v>
      </c>
      <c r="H1509" t="s">
        <v>25</v>
      </c>
      <c r="I1509" t="s">
        <v>25</v>
      </c>
      <c r="J1509" t="s">
        <v>26</v>
      </c>
      <c r="K1509"/>
      <c r="L1509"/>
      <c r="M1509" s="12">
        <v>5900</v>
      </c>
      <c r="N1509" s="12">
        <v>5900</v>
      </c>
      <c r="O1509" s="12">
        <v>7250</v>
      </c>
      <c r="P1509" s="12">
        <v>3750</v>
      </c>
      <c r="Q1509" s="12">
        <v>5750</v>
      </c>
      <c r="R1509" s="12">
        <v>6100</v>
      </c>
      <c r="S1509" s="12">
        <v>7200</v>
      </c>
      <c r="T1509" s="12">
        <v>7200</v>
      </c>
      <c r="U1509" s="12">
        <v>7200</v>
      </c>
      <c r="V1509" s="12">
        <v>10200</v>
      </c>
      <c r="W1509" s="12">
        <v>9200</v>
      </c>
      <c r="X1509" s="12">
        <v>9200</v>
      </c>
      <c r="Y1509" s="12">
        <f t="shared" si="26"/>
        <v>84850</v>
      </c>
    </row>
    <row r="1510" spans="1:25" ht="15">
      <c r="A1510">
        <v>2013</v>
      </c>
      <c r="B1510" t="s">
        <v>573</v>
      </c>
      <c r="C1510" t="s">
        <v>16</v>
      </c>
      <c r="D1510" t="s">
        <v>16</v>
      </c>
      <c r="E1510" t="s">
        <v>148</v>
      </c>
      <c r="F1510" t="s">
        <v>227</v>
      </c>
      <c r="G1510" t="s">
        <v>439</v>
      </c>
      <c r="H1510" t="s">
        <v>148</v>
      </c>
      <c r="I1510" t="s">
        <v>148</v>
      </c>
      <c r="J1510" t="s">
        <v>148</v>
      </c>
      <c r="K1510"/>
      <c r="L1510"/>
      <c r="M1510" s="12">
        <v>33828.54</v>
      </c>
      <c r="N1510" s="12">
        <v>-52259.9</v>
      </c>
      <c r="O1510" s="12">
        <v>35618.93</v>
      </c>
      <c r="P1510" s="12">
        <v>32829.22</v>
      </c>
      <c r="Q1510" s="12">
        <v>29678.13</v>
      </c>
      <c r="R1510" s="12">
        <v>36292.06</v>
      </c>
      <c r="S1510" s="12">
        <v>34251.25</v>
      </c>
      <c r="T1510" s="12">
        <v>36033.31</v>
      </c>
      <c r="U1510" s="12">
        <v>29176.87</v>
      </c>
      <c r="V1510" s="12">
        <v>36363.32</v>
      </c>
      <c r="W1510" s="12">
        <v>39023</v>
      </c>
      <c r="X1510" s="12">
        <v>39023</v>
      </c>
      <c r="Y1510" s="12">
        <f t="shared" si="26"/>
        <v>329857.73</v>
      </c>
    </row>
    <row r="1511" spans="1:25" ht="15">
      <c r="A1511">
        <v>2013</v>
      </c>
      <c r="B1511" t="s">
        <v>573</v>
      </c>
      <c r="C1511" t="s">
        <v>16</v>
      </c>
      <c r="D1511" t="s">
        <v>16</v>
      </c>
      <c r="E1511" t="s">
        <v>148</v>
      </c>
      <c r="F1511" t="s">
        <v>227</v>
      </c>
      <c r="G1511" t="s">
        <v>439</v>
      </c>
      <c r="H1511" t="s">
        <v>148</v>
      </c>
      <c r="I1511" t="s">
        <v>148</v>
      </c>
      <c r="J1511" t="s">
        <v>283</v>
      </c>
      <c r="K1511"/>
      <c r="L1511"/>
      <c r="M1511" s="12"/>
      <c r="N1511" s="12">
        <v>5000</v>
      </c>
      <c r="O1511" s="12"/>
      <c r="P1511" s="12">
        <v>2500</v>
      </c>
      <c r="Q1511" s="12">
        <v>2500</v>
      </c>
      <c r="R1511" s="12"/>
      <c r="S1511" s="12">
        <v>2500</v>
      </c>
      <c r="T1511" s="12">
        <v>2500</v>
      </c>
      <c r="U1511" s="12">
        <v>2500</v>
      </c>
      <c r="V1511" s="12">
        <v>2500</v>
      </c>
      <c r="W1511" s="12">
        <v>2500</v>
      </c>
      <c r="X1511" s="12">
        <v>2500</v>
      </c>
      <c r="Y1511" s="12">
        <f t="shared" si="26"/>
        <v>25000</v>
      </c>
    </row>
    <row r="1512" spans="1:25" ht="15">
      <c r="A1512">
        <v>2013</v>
      </c>
      <c r="B1512" t="s">
        <v>573</v>
      </c>
      <c r="C1512" t="s">
        <v>16</v>
      </c>
      <c r="D1512" t="s">
        <v>16</v>
      </c>
      <c r="E1512" t="s">
        <v>148</v>
      </c>
      <c r="F1512" t="s">
        <v>228</v>
      </c>
      <c r="G1512" t="s">
        <v>439</v>
      </c>
      <c r="H1512" t="s">
        <v>148</v>
      </c>
      <c r="I1512" t="s">
        <v>148</v>
      </c>
      <c r="J1512" t="s">
        <v>148</v>
      </c>
      <c r="K1512"/>
      <c r="L1512"/>
      <c r="M1512" s="12">
        <v>27802</v>
      </c>
      <c r="N1512" s="12">
        <v>28016.25</v>
      </c>
      <c r="O1512" s="12">
        <v>30127.599999999999</v>
      </c>
      <c r="P1512" s="12">
        <v>31230</v>
      </c>
      <c r="Q1512" s="12">
        <v>30780</v>
      </c>
      <c r="R1512" s="12">
        <v>31030</v>
      </c>
      <c r="S1512" s="12">
        <v>30930</v>
      </c>
      <c r="T1512" s="12">
        <v>30380</v>
      </c>
      <c r="U1512" s="12">
        <v>30022.240000000002</v>
      </c>
      <c r="V1512" s="12">
        <v>30630</v>
      </c>
      <c r="W1512" s="12">
        <v>30380</v>
      </c>
      <c r="X1512" s="12">
        <v>30380</v>
      </c>
      <c r="Y1512" s="12">
        <f t="shared" si="26"/>
        <v>361708.09</v>
      </c>
    </row>
    <row r="1513" spans="1:25" ht="15">
      <c r="A1513">
        <v>2013</v>
      </c>
      <c r="B1513" t="s">
        <v>573</v>
      </c>
      <c r="C1513" t="s">
        <v>16</v>
      </c>
      <c r="D1513" t="s">
        <v>16</v>
      </c>
      <c r="E1513" t="s">
        <v>148</v>
      </c>
      <c r="F1513" t="s">
        <v>53</v>
      </c>
      <c r="G1513" t="s">
        <v>439</v>
      </c>
      <c r="H1513" t="s">
        <v>148</v>
      </c>
      <c r="I1513" t="s">
        <v>148</v>
      </c>
      <c r="J1513" t="s">
        <v>148</v>
      </c>
      <c r="K1513"/>
      <c r="L1513"/>
      <c r="M1513" s="12">
        <v>16379.78</v>
      </c>
      <c r="N1513" s="12">
        <v>17859.400000000001</v>
      </c>
      <c r="O1513" s="12">
        <v>34539.050000000003</v>
      </c>
      <c r="P1513" s="12">
        <v>36942.839999999997</v>
      </c>
      <c r="Q1513" s="12">
        <v>34365.15</v>
      </c>
      <c r="R1513" s="12">
        <v>36069.67</v>
      </c>
      <c r="S1513" s="12">
        <v>35001.29</v>
      </c>
      <c r="T1513" s="12">
        <v>28501.96</v>
      </c>
      <c r="U1513" s="12">
        <v>23113.119999999999</v>
      </c>
      <c r="V1513" s="12">
        <v>20556.509999999998</v>
      </c>
      <c r="W1513" s="12">
        <v>21916</v>
      </c>
      <c r="X1513" s="12">
        <v>21916</v>
      </c>
      <c r="Y1513" s="12">
        <f t="shared" si="26"/>
        <v>327160.77</v>
      </c>
    </row>
    <row r="1514" spans="1:25" ht="15">
      <c r="A1514">
        <v>2013</v>
      </c>
      <c r="B1514" t="s">
        <v>573</v>
      </c>
      <c r="C1514" t="s">
        <v>16</v>
      </c>
      <c r="D1514" t="s">
        <v>16</v>
      </c>
      <c r="E1514" t="s">
        <v>148</v>
      </c>
      <c r="F1514" t="s">
        <v>231</v>
      </c>
      <c r="G1514" t="s">
        <v>439</v>
      </c>
      <c r="H1514" t="s">
        <v>148</v>
      </c>
      <c r="I1514" t="s">
        <v>148</v>
      </c>
      <c r="J1514" t="s">
        <v>148</v>
      </c>
      <c r="K1514"/>
      <c r="L1514"/>
      <c r="M1514" s="12">
        <v>30097.38</v>
      </c>
      <c r="N1514" s="12">
        <v>29930</v>
      </c>
      <c r="O1514" s="12">
        <v>31111</v>
      </c>
      <c r="P1514" s="12">
        <v>31111</v>
      </c>
      <c r="Q1514" s="12">
        <v>28638.19</v>
      </c>
      <c r="R1514" s="12">
        <v>19987</v>
      </c>
      <c r="S1514" s="12">
        <v>19987</v>
      </c>
      <c r="T1514" s="12">
        <v>19822.669999999998</v>
      </c>
      <c r="U1514" s="12">
        <v>19987</v>
      </c>
      <c r="V1514" s="12">
        <v>19987</v>
      </c>
      <c r="W1514" s="12">
        <v>31111</v>
      </c>
      <c r="X1514" s="12">
        <v>31111</v>
      </c>
      <c r="Y1514" s="12">
        <f t="shared" si="26"/>
        <v>312880.24</v>
      </c>
    </row>
    <row r="1515" spans="1:25" ht="15">
      <c r="A1515">
        <v>2013</v>
      </c>
      <c r="B1515" t="s">
        <v>573</v>
      </c>
      <c r="C1515" t="s">
        <v>16</v>
      </c>
      <c r="D1515" t="s">
        <v>16</v>
      </c>
      <c r="E1515" t="s">
        <v>148</v>
      </c>
      <c r="F1515" t="s">
        <v>232</v>
      </c>
      <c r="G1515" t="s">
        <v>439</v>
      </c>
      <c r="H1515" t="s">
        <v>148</v>
      </c>
      <c r="I1515" t="s">
        <v>148</v>
      </c>
      <c r="J1515" t="s">
        <v>148</v>
      </c>
      <c r="K1515"/>
      <c r="L1515"/>
      <c r="M1515" s="12">
        <v>77453.81</v>
      </c>
      <c r="N1515" s="12">
        <v>75467.14</v>
      </c>
      <c r="O1515" s="12">
        <v>80534.64</v>
      </c>
      <c r="P1515" s="12">
        <v>83361.009999999995</v>
      </c>
      <c r="Q1515" s="12">
        <v>83823.649999999994</v>
      </c>
      <c r="R1515" s="12">
        <v>86504.73</v>
      </c>
      <c r="S1515" s="12">
        <v>85671.7</v>
      </c>
      <c r="T1515" s="12">
        <v>79978.25</v>
      </c>
      <c r="U1515" s="12">
        <v>75439.02</v>
      </c>
      <c r="V1515" s="12">
        <v>72310.850000000006</v>
      </c>
      <c r="W1515" s="12">
        <v>78269</v>
      </c>
      <c r="X1515" s="12">
        <v>78269</v>
      </c>
      <c r="Y1515" s="12">
        <f t="shared" si="26"/>
        <v>957082.79999999993</v>
      </c>
    </row>
    <row r="1516" spans="1:25" ht="15">
      <c r="A1516">
        <v>2013</v>
      </c>
      <c r="B1516" t="s">
        <v>573</v>
      </c>
      <c r="C1516" t="s">
        <v>16</v>
      </c>
      <c r="D1516" t="s">
        <v>16</v>
      </c>
      <c r="E1516" t="s">
        <v>148</v>
      </c>
      <c r="F1516" t="s">
        <v>232</v>
      </c>
      <c r="G1516" t="s">
        <v>439</v>
      </c>
      <c r="H1516" t="s">
        <v>148</v>
      </c>
      <c r="I1516" t="s">
        <v>148</v>
      </c>
      <c r="J1516" t="s">
        <v>283</v>
      </c>
      <c r="K1516"/>
      <c r="L1516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>
        <v>500</v>
      </c>
      <c r="X1516" s="12">
        <v>500</v>
      </c>
      <c r="Y1516" s="12">
        <f t="shared" si="26"/>
        <v>1000</v>
      </c>
    </row>
    <row r="1517" spans="1:25" ht="15">
      <c r="A1517">
        <v>2013</v>
      </c>
      <c r="B1517" t="s">
        <v>573</v>
      </c>
      <c r="C1517" t="s">
        <v>16</v>
      </c>
      <c r="D1517" t="s">
        <v>16</v>
      </c>
      <c r="E1517" t="s">
        <v>148</v>
      </c>
      <c r="F1517" t="s">
        <v>165</v>
      </c>
      <c r="G1517" t="s">
        <v>439</v>
      </c>
      <c r="H1517" t="s">
        <v>148</v>
      </c>
      <c r="I1517" t="s">
        <v>148</v>
      </c>
      <c r="J1517" t="s">
        <v>148</v>
      </c>
      <c r="K1517"/>
      <c r="L1517"/>
      <c r="M1517" s="12">
        <v>12114.31</v>
      </c>
      <c r="N1517" s="12">
        <v>12311.84</v>
      </c>
      <c r="O1517" s="12">
        <v>14315.34</v>
      </c>
      <c r="P1517" s="12">
        <v>14888.52</v>
      </c>
      <c r="Q1517" s="12">
        <v>14349.04</v>
      </c>
      <c r="R1517" s="12">
        <v>19341.16</v>
      </c>
      <c r="S1517" s="12">
        <v>16975.349999999999</v>
      </c>
      <c r="T1517" s="12">
        <v>16441.02</v>
      </c>
      <c r="U1517" s="12">
        <v>15518.3</v>
      </c>
      <c r="V1517" s="12">
        <v>14862.18</v>
      </c>
      <c r="W1517" s="12">
        <v>11240</v>
      </c>
      <c r="X1517" s="12">
        <v>11240</v>
      </c>
      <c r="Y1517" s="12">
        <f t="shared" si="26"/>
        <v>173597.06000000003</v>
      </c>
    </row>
    <row r="1518" spans="1:25" ht="15">
      <c r="A1518">
        <v>2013</v>
      </c>
      <c r="B1518" t="s">
        <v>573</v>
      </c>
      <c r="C1518" t="s">
        <v>16</v>
      </c>
      <c r="D1518" t="s">
        <v>16</v>
      </c>
      <c r="E1518" t="s">
        <v>148</v>
      </c>
      <c r="F1518" t="s">
        <v>165</v>
      </c>
      <c r="G1518" t="s">
        <v>439</v>
      </c>
      <c r="H1518" t="s">
        <v>148</v>
      </c>
      <c r="I1518" t="s">
        <v>148</v>
      </c>
      <c r="J1518" t="s">
        <v>283</v>
      </c>
      <c r="K1518"/>
      <c r="L1518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>
        <v>3260</v>
      </c>
      <c r="X1518" s="12">
        <v>2675</v>
      </c>
      <c r="Y1518" s="12">
        <f t="shared" si="26"/>
        <v>5935</v>
      </c>
    </row>
    <row r="1519" spans="1:25" ht="15">
      <c r="A1519">
        <v>2013</v>
      </c>
      <c r="B1519" t="s">
        <v>573</v>
      </c>
      <c r="C1519" t="s">
        <v>16</v>
      </c>
      <c r="D1519" t="s">
        <v>16</v>
      </c>
      <c r="E1519" t="s">
        <v>148</v>
      </c>
      <c r="F1519" t="s">
        <v>156</v>
      </c>
      <c r="G1519" t="s">
        <v>439</v>
      </c>
      <c r="H1519" t="s">
        <v>148</v>
      </c>
      <c r="I1519" t="s">
        <v>148</v>
      </c>
      <c r="J1519" t="s">
        <v>148</v>
      </c>
      <c r="K1519"/>
      <c r="L1519"/>
      <c r="M1519" s="12">
        <v>47285.99</v>
      </c>
      <c r="N1519" s="12">
        <v>57585.06</v>
      </c>
      <c r="O1519" s="12">
        <v>57076.83</v>
      </c>
      <c r="P1519" s="12">
        <v>66909.09</v>
      </c>
      <c r="Q1519" s="12">
        <v>62189.3</v>
      </c>
      <c r="R1519" s="12">
        <v>68781.2</v>
      </c>
      <c r="S1519" s="12">
        <v>64532.46</v>
      </c>
      <c r="T1519" s="12">
        <v>81579.759999999995</v>
      </c>
      <c r="U1519" s="12">
        <v>77687.03</v>
      </c>
      <c r="V1519" s="12">
        <v>65501.4</v>
      </c>
      <c r="W1519" s="12">
        <v>79624</v>
      </c>
      <c r="X1519" s="12">
        <v>75480</v>
      </c>
      <c r="Y1519" s="12">
        <f t="shared" si="26"/>
        <v>804232.12000000011</v>
      </c>
    </row>
    <row r="1520" spans="1:25" ht="15">
      <c r="A1520">
        <v>2013</v>
      </c>
      <c r="B1520" t="s">
        <v>573</v>
      </c>
      <c r="C1520" t="s">
        <v>16</v>
      </c>
      <c r="D1520" t="s">
        <v>16</v>
      </c>
      <c r="E1520" t="s">
        <v>148</v>
      </c>
      <c r="F1520" t="s">
        <v>204</v>
      </c>
      <c r="G1520" t="s">
        <v>439</v>
      </c>
      <c r="H1520" t="s">
        <v>148</v>
      </c>
      <c r="I1520" t="s">
        <v>148</v>
      </c>
      <c r="J1520" t="s">
        <v>148</v>
      </c>
      <c r="K1520"/>
      <c r="L1520"/>
      <c r="M1520" s="12">
        <v>74713.33</v>
      </c>
      <c r="N1520" s="12">
        <v>75920</v>
      </c>
      <c r="O1520" s="12">
        <v>78758.2</v>
      </c>
      <c r="P1520" s="12">
        <v>79310.070000000007</v>
      </c>
      <c r="Q1520" s="12">
        <v>99584.47</v>
      </c>
      <c r="R1520" s="12">
        <v>107138.79</v>
      </c>
      <c r="S1520" s="12">
        <v>92811.45</v>
      </c>
      <c r="T1520" s="12">
        <v>81357.47</v>
      </c>
      <c r="U1520" s="12">
        <v>71994.259999999995</v>
      </c>
      <c r="V1520" s="12">
        <v>72668.009999999995</v>
      </c>
      <c r="W1520" s="12">
        <v>77404</v>
      </c>
      <c r="X1520" s="12">
        <v>57276</v>
      </c>
      <c r="Y1520" s="12">
        <f t="shared" si="26"/>
        <v>968936.05</v>
      </c>
    </row>
    <row r="1521" spans="1:25" ht="15">
      <c r="A1521">
        <v>2013</v>
      </c>
      <c r="B1521" t="s">
        <v>573</v>
      </c>
      <c r="C1521" t="s">
        <v>16</v>
      </c>
      <c r="D1521" t="s">
        <v>16</v>
      </c>
      <c r="E1521" t="s">
        <v>148</v>
      </c>
      <c r="F1521" t="s">
        <v>259</v>
      </c>
      <c r="G1521" t="s">
        <v>439</v>
      </c>
      <c r="H1521" t="s">
        <v>148</v>
      </c>
      <c r="I1521" t="s">
        <v>148</v>
      </c>
      <c r="J1521" t="s">
        <v>148</v>
      </c>
      <c r="K1521"/>
      <c r="L1521"/>
      <c r="M1521" s="12">
        <v>39440</v>
      </c>
      <c r="N1521" s="12">
        <v>38870</v>
      </c>
      <c r="O1521" s="12">
        <v>41637</v>
      </c>
      <c r="P1521" s="12">
        <v>41537</v>
      </c>
      <c r="Q1521" s="12">
        <v>43484.21</v>
      </c>
      <c r="R1521" s="12">
        <v>39394.33</v>
      </c>
      <c r="S1521" s="12">
        <v>41637</v>
      </c>
      <c r="T1521" s="12">
        <v>59217</v>
      </c>
      <c r="U1521" s="12">
        <v>41637</v>
      </c>
      <c r="V1521" s="12">
        <v>59641</v>
      </c>
      <c r="W1521" s="12">
        <v>59641</v>
      </c>
      <c r="X1521" s="12">
        <v>59641</v>
      </c>
      <c r="Y1521" s="12">
        <f t="shared" si="26"/>
        <v>565776.54</v>
      </c>
    </row>
    <row r="1522" spans="1:25" ht="15">
      <c r="A1522">
        <v>2013</v>
      </c>
      <c r="B1522" t="s">
        <v>573</v>
      </c>
      <c r="C1522" t="s">
        <v>16</v>
      </c>
      <c r="D1522" t="s">
        <v>16</v>
      </c>
      <c r="E1522" t="s">
        <v>148</v>
      </c>
      <c r="F1522" t="s">
        <v>88</v>
      </c>
      <c r="G1522" t="s">
        <v>439</v>
      </c>
      <c r="H1522" t="s">
        <v>148</v>
      </c>
      <c r="I1522" t="s">
        <v>148</v>
      </c>
      <c r="J1522" t="s">
        <v>148</v>
      </c>
      <c r="K1522"/>
      <c r="L1522"/>
      <c r="M1522" s="12">
        <v>36177.230000000003</v>
      </c>
      <c r="N1522" s="12">
        <v>30455</v>
      </c>
      <c r="O1522" s="12">
        <v>31519.15</v>
      </c>
      <c r="P1522" s="12">
        <v>32887.82</v>
      </c>
      <c r="Q1522" s="12">
        <v>33181</v>
      </c>
      <c r="R1522" s="12">
        <v>33043.47</v>
      </c>
      <c r="S1522" s="12">
        <v>32788.07</v>
      </c>
      <c r="T1522" s="12">
        <v>28732.99</v>
      </c>
      <c r="U1522" s="12">
        <v>27328</v>
      </c>
      <c r="V1522" s="12">
        <v>27328</v>
      </c>
      <c r="W1522" s="12">
        <v>27328</v>
      </c>
      <c r="X1522" s="12">
        <v>27328</v>
      </c>
      <c r="Y1522" s="12">
        <f t="shared" si="26"/>
        <v>368096.73</v>
      </c>
    </row>
    <row r="1523" spans="1:25" ht="15">
      <c r="A1523">
        <v>2013</v>
      </c>
      <c r="B1523" t="s">
        <v>573</v>
      </c>
      <c r="C1523" t="s">
        <v>16</v>
      </c>
      <c r="D1523" t="s">
        <v>16</v>
      </c>
      <c r="E1523" t="s">
        <v>148</v>
      </c>
      <c r="F1523" t="s">
        <v>229</v>
      </c>
      <c r="G1523" t="s">
        <v>439</v>
      </c>
      <c r="H1523" t="s">
        <v>148</v>
      </c>
      <c r="I1523" t="s">
        <v>148</v>
      </c>
      <c r="J1523" t="s">
        <v>148</v>
      </c>
      <c r="K1523"/>
      <c r="L1523"/>
      <c r="M1523" s="12">
        <v>10160.65</v>
      </c>
      <c r="N1523" s="12">
        <v>10920</v>
      </c>
      <c r="O1523" s="12">
        <v>12432</v>
      </c>
      <c r="P1523" s="12">
        <v>12432</v>
      </c>
      <c r="Q1523" s="12">
        <v>11684.21</v>
      </c>
      <c r="R1523" s="12">
        <v>12432</v>
      </c>
      <c r="S1523" s="12">
        <v>12432</v>
      </c>
      <c r="T1523" s="12">
        <v>12432</v>
      </c>
      <c r="U1523" s="12">
        <v>12432</v>
      </c>
      <c r="V1523" s="12">
        <v>12432</v>
      </c>
      <c r="W1523" s="12">
        <v>12432</v>
      </c>
      <c r="X1523" s="12">
        <v>17168</v>
      </c>
      <c r="Y1523" s="12">
        <f t="shared" si="26"/>
        <v>149388.85999999999</v>
      </c>
    </row>
    <row r="1524" spans="1:25" ht="15">
      <c r="A1524">
        <v>2013</v>
      </c>
      <c r="B1524" t="s">
        <v>573</v>
      </c>
      <c r="C1524" t="s">
        <v>16</v>
      </c>
      <c r="D1524" t="s">
        <v>16</v>
      </c>
      <c r="E1524" t="s">
        <v>148</v>
      </c>
      <c r="F1524" t="s">
        <v>230</v>
      </c>
      <c r="G1524" t="s">
        <v>439</v>
      </c>
      <c r="H1524" t="s">
        <v>148</v>
      </c>
      <c r="I1524" t="s">
        <v>148</v>
      </c>
      <c r="J1524" t="s">
        <v>148</v>
      </c>
      <c r="K1524"/>
      <c r="L1524"/>
      <c r="M1524" s="12">
        <v>14453.33</v>
      </c>
      <c r="N1524" s="12">
        <v>15400</v>
      </c>
      <c r="O1524" s="12">
        <v>17168</v>
      </c>
      <c r="P1524" s="12">
        <v>17168</v>
      </c>
      <c r="Q1524" s="12">
        <v>17168</v>
      </c>
      <c r="R1524" s="12">
        <v>17168</v>
      </c>
      <c r="S1524" s="12">
        <v>17168</v>
      </c>
      <c r="T1524" s="12">
        <v>17168</v>
      </c>
      <c r="U1524" s="12">
        <v>17168</v>
      </c>
      <c r="V1524" s="12">
        <v>16963.330000000002</v>
      </c>
      <c r="W1524" s="12">
        <v>17168</v>
      </c>
      <c r="X1524" s="12">
        <v>17168</v>
      </c>
      <c r="Y1524" s="12">
        <f t="shared" si="26"/>
        <v>201328.66000000003</v>
      </c>
    </row>
    <row r="1525" spans="1:25" ht="15">
      <c r="A1525">
        <v>2013</v>
      </c>
      <c r="B1525" t="s">
        <v>573</v>
      </c>
      <c r="C1525" t="s">
        <v>16</v>
      </c>
      <c r="D1525" t="s">
        <v>16</v>
      </c>
      <c r="E1525" t="s">
        <v>148</v>
      </c>
      <c r="F1525" t="s">
        <v>17</v>
      </c>
      <c r="G1525" t="s">
        <v>439</v>
      </c>
      <c r="H1525" t="s">
        <v>148</v>
      </c>
      <c r="I1525" t="s">
        <v>148</v>
      </c>
      <c r="J1525" t="s">
        <v>148</v>
      </c>
      <c r="K1525"/>
      <c r="L1525"/>
      <c r="M1525" s="12">
        <v>15515.36</v>
      </c>
      <c r="N1525" s="12">
        <v>16412</v>
      </c>
      <c r="O1525" s="12">
        <v>18299.36</v>
      </c>
      <c r="P1525" s="12">
        <v>18321.080000000002</v>
      </c>
      <c r="Q1525" s="12">
        <v>18868.84</v>
      </c>
      <c r="R1525" s="12">
        <v>18617.91</v>
      </c>
      <c r="S1525" s="12">
        <v>18342.439999999999</v>
      </c>
      <c r="T1525" s="12">
        <v>18542.009999999998</v>
      </c>
      <c r="U1525" s="12">
        <v>17809.150000000001</v>
      </c>
      <c r="V1525" s="12">
        <v>18605.48</v>
      </c>
      <c r="W1525" s="12">
        <v>18812</v>
      </c>
      <c r="X1525" s="12">
        <v>18812</v>
      </c>
      <c r="Y1525" s="12">
        <f t="shared" si="26"/>
        <v>216957.63</v>
      </c>
    </row>
    <row r="1526" spans="1:25" ht="15">
      <c r="A1526">
        <v>2013</v>
      </c>
      <c r="B1526" t="s">
        <v>573</v>
      </c>
      <c r="C1526" t="s">
        <v>32</v>
      </c>
      <c r="D1526" t="s">
        <v>32</v>
      </c>
      <c r="E1526" t="s">
        <v>148</v>
      </c>
      <c r="F1526" t="s">
        <v>208</v>
      </c>
      <c r="G1526" t="s">
        <v>245</v>
      </c>
      <c r="H1526" t="s">
        <v>148</v>
      </c>
      <c r="I1526" t="s">
        <v>148</v>
      </c>
      <c r="J1526" t="s">
        <v>148</v>
      </c>
      <c r="K1526"/>
      <c r="L1526"/>
      <c r="M1526" s="12"/>
      <c r="N1526" s="12"/>
      <c r="O1526" s="12"/>
      <c r="P1526" s="12"/>
      <c r="Q1526" s="12"/>
      <c r="R1526" s="12"/>
      <c r="S1526" s="12">
        <v>16581.13</v>
      </c>
      <c r="T1526" s="12"/>
      <c r="U1526" s="12"/>
      <c r="V1526" s="12"/>
      <c r="W1526" s="12"/>
      <c r="X1526" s="12"/>
      <c r="Y1526" s="12">
        <f t="shared" si="26"/>
        <v>16581.13</v>
      </c>
    </row>
    <row r="1527" spans="1:25" ht="15">
      <c r="A1527">
        <v>2013</v>
      </c>
      <c r="B1527" t="s">
        <v>573</v>
      </c>
      <c r="C1527" t="s">
        <v>16</v>
      </c>
      <c r="D1527" t="s">
        <v>16</v>
      </c>
      <c r="E1527" t="s">
        <v>148</v>
      </c>
      <c r="F1527" t="s">
        <v>208</v>
      </c>
      <c r="G1527" t="s">
        <v>439</v>
      </c>
      <c r="H1527" t="s">
        <v>148</v>
      </c>
      <c r="I1527" t="s">
        <v>148</v>
      </c>
      <c r="J1527" t="s">
        <v>148</v>
      </c>
      <c r="K1527"/>
      <c r="L1527"/>
      <c r="M1527" s="12"/>
      <c r="N1527" s="12"/>
      <c r="O1527" s="12"/>
      <c r="P1527" s="12"/>
      <c r="Q1527" s="12">
        <v>27419.47</v>
      </c>
      <c r="R1527" s="12"/>
      <c r="S1527" s="12"/>
      <c r="T1527" s="12"/>
      <c r="U1527" s="12">
        <v>27325.02</v>
      </c>
      <c r="V1527" s="12"/>
      <c r="W1527" s="12"/>
      <c r="X1527" s="12"/>
      <c r="Y1527" s="12">
        <f t="shared" si="26"/>
        <v>54744.490000000005</v>
      </c>
    </row>
    <row r="1528" spans="1:25" ht="15">
      <c r="A1528">
        <v>2013</v>
      </c>
      <c r="B1528" t="s">
        <v>574</v>
      </c>
      <c r="C1528" t="s">
        <v>16</v>
      </c>
      <c r="D1528" t="s">
        <v>16</v>
      </c>
      <c r="E1528" t="s">
        <v>148</v>
      </c>
      <c r="F1528" t="s">
        <v>147</v>
      </c>
      <c r="G1528" t="s">
        <v>439</v>
      </c>
      <c r="H1528" t="s">
        <v>148</v>
      </c>
      <c r="I1528" t="s">
        <v>148</v>
      </c>
      <c r="J1528" t="s">
        <v>148</v>
      </c>
      <c r="K1528"/>
      <c r="L1528"/>
      <c r="M1528" s="12">
        <v>212499.35</v>
      </c>
      <c r="N1528" s="12">
        <v>233970.17</v>
      </c>
      <c r="O1528" s="12">
        <v>227667.39</v>
      </c>
      <c r="P1528" s="12">
        <v>260437.79</v>
      </c>
      <c r="Q1528" s="12">
        <v>246121.1</v>
      </c>
      <c r="R1528" s="12">
        <v>259612.62</v>
      </c>
      <c r="S1528" s="12">
        <v>264641.78999999998</v>
      </c>
      <c r="T1528" s="12">
        <v>332379.24</v>
      </c>
      <c r="U1528" s="12">
        <v>307749.39</v>
      </c>
      <c r="V1528" s="12">
        <v>292417.48</v>
      </c>
      <c r="W1528" s="12">
        <v>312312</v>
      </c>
      <c r="X1528" s="12">
        <v>310258</v>
      </c>
      <c r="Y1528" s="12">
        <f t="shared" si="26"/>
        <v>3260066.32</v>
      </c>
    </row>
    <row r="1529" spans="1:25" ht="15">
      <c r="A1529">
        <v>2013</v>
      </c>
      <c r="B1529" t="s">
        <v>574</v>
      </c>
      <c r="C1529" t="s">
        <v>16</v>
      </c>
      <c r="D1529" t="s">
        <v>16</v>
      </c>
      <c r="E1529" t="s">
        <v>148</v>
      </c>
      <c r="F1529" t="s">
        <v>233</v>
      </c>
      <c r="G1529" t="s">
        <v>439</v>
      </c>
      <c r="H1529" t="s">
        <v>148</v>
      </c>
      <c r="I1529" t="s">
        <v>148</v>
      </c>
      <c r="J1529" t="s">
        <v>148</v>
      </c>
      <c r="K1529"/>
      <c r="L1529"/>
      <c r="M1529" s="12">
        <v>92056.16</v>
      </c>
      <c r="N1529" s="12">
        <v>153076.94</v>
      </c>
      <c r="O1529" s="12">
        <v>358939.06</v>
      </c>
      <c r="P1529" s="12">
        <v>492133.2</v>
      </c>
      <c r="Q1529" s="12">
        <v>556926.06999999995</v>
      </c>
      <c r="R1529" s="12">
        <v>481078.99</v>
      </c>
      <c r="S1529" s="12">
        <v>447740.86</v>
      </c>
      <c r="T1529" s="12">
        <v>261086.73</v>
      </c>
      <c r="U1529" s="12">
        <v>132339.56</v>
      </c>
      <c r="V1529" s="12">
        <v>84742.83</v>
      </c>
      <c r="W1529" s="12">
        <v>117091</v>
      </c>
      <c r="X1529" s="12">
        <v>117091</v>
      </c>
      <c r="Y1529" s="12">
        <f t="shared" si="26"/>
        <v>3294302.4</v>
      </c>
    </row>
    <row r="1530" spans="1:25" ht="15">
      <c r="A1530">
        <v>2013</v>
      </c>
      <c r="B1530" t="s">
        <v>573</v>
      </c>
      <c r="C1530" t="s">
        <v>16</v>
      </c>
      <c r="D1530" t="s">
        <v>16</v>
      </c>
      <c r="E1530" t="s">
        <v>37</v>
      </c>
      <c r="F1530" t="s">
        <v>228</v>
      </c>
      <c r="G1530" t="s">
        <v>439</v>
      </c>
      <c r="H1530" t="s">
        <v>37</v>
      </c>
      <c r="I1530" t="s">
        <v>37</v>
      </c>
      <c r="J1530" t="s">
        <v>37</v>
      </c>
      <c r="K1530"/>
      <c r="L1530"/>
      <c r="M1530" s="12"/>
      <c r="N1530" s="12"/>
      <c r="O1530" s="12"/>
      <c r="P1530" s="12"/>
      <c r="Q1530" s="12"/>
      <c r="R1530" s="12"/>
      <c r="S1530" s="12"/>
      <c r="T1530" s="12"/>
      <c r="U1530" s="12">
        <v>146.83000000000001</v>
      </c>
      <c r="V1530" s="12"/>
      <c r="W1530" s="12"/>
      <c r="X1530" s="12"/>
      <c r="Y1530" s="12">
        <f t="shared" si="26"/>
        <v>146.83000000000001</v>
      </c>
    </row>
    <row r="1531" spans="1:25" ht="15">
      <c r="A1531">
        <v>2013</v>
      </c>
      <c r="B1531" t="s">
        <v>573</v>
      </c>
      <c r="C1531" t="s">
        <v>16</v>
      </c>
      <c r="D1531" t="s">
        <v>16</v>
      </c>
      <c r="E1531" t="s">
        <v>37</v>
      </c>
      <c r="F1531" t="s">
        <v>231</v>
      </c>
      <c r="G1531" t="s">
        <v>439</v>
      </c>
      <c r="H1531" t="s">
        <v>37</v>
      </c>
      <c r="I1531" t="s">
        <v>37</v>
      </c>
      <c r="J1531" t="s">
        <v>37</v>
      </c>
      <c r="K1531"/>
      <c r="L1531"/>
      <c r="M1531" s="12"/>
      <c r="N1531" s="12"/>
      <c r="O1531" s="12"/>
      <c r="P1531" s="12"/>
      <c r="Q1531" s="12">
        <v>16062</v>
      </c>
      <c r="R1531" s="12"/>
      <c r="S1531" s="12"/>
      <c r="T1531" s="12"/>
      <c r="U1531" s="12"/>
      <c r="V1531" s="12"/>
      <c r="W1531" s="12"/>
      <c r="X1531" s="12"/>
      <c r="Y1531" s="12">
        <f t="shared" si="26"/>
        <v>16062</v>
      </c>
    </row>
    <row r="1532" spans="1:25" ht="15">
      <c r="A1532">
        <v>2013</v>
      </c>
      <c r="B1532" t="s">
        <v>573</v>
      </c>
      <c r="C1532" t="s">
        <v>16</v>
      </c>
      <c r="D1532" t="s">
        <v>16</v>
      </c>
      <c r="E1532" t="s">
        <v>37</v>
      </c>
      <c r="F1532" t="s">
        <v>259</v>
      </c>
      <c r="G1532" t="s">
        <v>439</v>
      </c>
      <c r="H1532" t="s">
        <v>37</v>
      </c>
      <c r="I1532" t="s">
        <v>37</v>
      </c>
      <c r="J1532" t="s">
        <v>37</v>
      </c>
      <c r="K1532"/>
      <c r="L1532"/>
      <c r="M1532" s="12"/>
      <c r="N1532" s="12">
        <v>300</v>
      </c>
      <c r="O1532" s="12"/>
      <c r="P1532" s="12"/>
      <c r="Q1532" s="12"/>
      <c r="R1532" s="12"/>
      <c r="S1532" s="12"/>
      <c r="T1532" s="12"/>
      <c r="U1532" s="12"/>
      <c r="V1532" s="12">
        <v>500</v>
      </c>
      <c r="W1532" s="12"/>
      <c r="X1532" s="12"/>
      <c r="Y1532" s="12">
        <f t="shared" si="26"/>
        <v>800</v>
      </c>
    </row>
    <row r="1533" spans="1:25" ht="15">
      <c r="A1533">
        <v>2013</v>
      </c>
      <c r="B1533" t="s">
        <v>574</v>
      </c>
      <c r="C1533" t="s">
        <v>16</v>
      </c>
      <c r="D1533" t="s">
        <v>16</v>
      </c>
      <c r="E1533" t="s">
        <v>20</v>
      </c>
      <c r="F1533" t="s">
        <v>232</v>
      </c>
      <c r="G1533" t="s">
        <v>439</v>
      </c>
      <c r="H1533" t="s">
        <v>20</v>
      </c>
      <c r="I1533" t="s">
        <v>20</v>
      </c>
      <c r="J1533" t="s">
        <v>238</v>
      </c>
      <c r="K1533"/>
      <c r="L1533"/>
      <c r="M1533" s="12">
        <v>5857.33</v>
      </c>
      <c r="N1533" s="12">
        <v>8910.1</v>
      </c>
      <c r="O1533" s="12">
        <v>11339.85</v>
      </c>
      <c r="P1533" s="12">
        <v>10897.61</v>
      </c>
      <c r="Q1533" s="12">
        <v>12012.04</v>
      </c>
      <c r="R1533" s="12">
        <v>13061.05</v>
      </c>
      <c r="S1533" s="12">
        <v>11719.45</v>
      </c>
      <c r="T1533" s="12">
        <v>8964.85</v>
      </c>
      <c r="U1533" s="12">
        <v>11579.15</v>
      </c>
      <c r="V1533" s="12">
        <v>6115.63</v>
      </c>
      <c r="W1533" s="12">
        <v>15400</v>
      </c>
      <c r="X1533" s="12">
        <v>15400</v>
      </c>
      <c r="Y1533" s="12">
        <f t="shared" si="26"/>
        <v>131257.06</v>
      </c>
    </row>
    <row r="1534" spans="1:25" ht="15">
      <c r="A1534">
        <v>2013</v>
      </c>
      <c r="B1534" t="s">
        <v>574</v>
      </c>
      <c r="C1534" t="s">
        <v>16</v>
      </c>
      <c r="D1534" t="s">
        <v>16</v>
      </c>
      <c r="E1534" t="s">
        <v>20</v>
      </c>
      <c r="F1534" t="s">
        <v>232</v>
      </c>
      <c r="G1534" t="s">
        <v>439</v>
      </c>
      <c r="H1534" t="s">
        <v>20</v>
      </c>
      <c r="I1534" t="s">
        <v>20</v>
      </c>
      <c r="J1534" t="s">
        <v>281</v>
      </c>
      <c r="K1534"/>
      <c r="L1534"/>
      <c r="M1534" s="12">
        <v>146095.67999999999</v>
      </c>
      <c r="N1534" s="12">
        <v>173296.9</v>
      </c>
      <c r="O1534" s="12">
        <v>214803.49</v>
      </c>
      <c r="P1534" s="12">
        <v>198559.43</v>
      </c>
      <c r="Q1534" s="12">
        <v>133583.20000000001</v>
      </c>
      <c r="R1534" s="12">
        <v>111421.5</v>
      </c>
      <c r="S1534" s="12">
        <v>99247.16</v>
      </c>
      <c r="T1534" s="12">
        <v>64895.42</v>
      </c>
      <c r="U1534" s="12">
        <v>37150.89</v>
      </c>
      <c r="V1534" s="12">
        <v>76315.399999999994</v>
      </c>
      <c r="W1534" s="12">
        <v>117500</v>
      </c>
      <c r="X1534" s="12">
        <v>120000</v>
      </c>
      <c r="Y1534" s="12">
        <f t="shared" si="26"/>
        <v>1492869.0699999996</v>
      </c>
    </row>
    <row r="1535" spans="1:25" ht="15">
      <c r="A1535">
        <v>2013</v>
      </c>
      <c r="B1535" t="s">
        <v>574</v>
      </c>
      <c r="C1535" t="s">
        <v>16</v>
      </c>
      <c r="D1535" t="s">
        <v>16</v>
      </c>
      <c r="E1535" t="s">
        <v>20</v>
      </c>
      <c r="F1535" t="s">
        <v>232</v>
      </c>
      <c r="G1535" t="s">
        <v>439</v>
      </c>
      <c r="H1535" t="s">
        <v>20</v>
      </c>
      <c r="I1535" t="s">
        <v>20</v>
      </c>
      <c r="J1535" t="s">
        <v>280</v>
      </c>
      <c r="K1535"/>
      <c r="L1535"/>
      <c r="M1535" s="12">
        <v>4173.6000000000004</v>
      </c>
      <c r="N1535" s="12">
        <v>6288</v>
      </c>
      <c r="O1535" s="12">
        <v>8282.4</v>
      </c>
      <c r="P1535" s="12">
        <v>7936.8</v>
      </c>
      <c r="Q1535" s="12">
        <v>8500.7999999999993</v>
      </c>
      <c r="R1535" s="12">
        <v>10087.200000000001</v>
      </c>
      <c r="S1535" s="12">
        <v>8512.7999999999993</v>
      </c>
      <c r="T1535" s="12">
        <v>6588</v>
      </c>
      <c r="U1535" s="12">
        <v>8440.7999999999993</v>
      </c>
      <c r="V1535" s="12">
        <v>4600.8</v>
      </c>
      <c r="W1535" s="12">
        <v>12500</v>
      </c>
      <c r="X1535" s="12">
        <v>12500</v>
      </c>
      <c r="Y1535" s="12">
        <f t="shared" si="26"/>
        <v>98411.200000000012</v>
      </c>
    </row>
    <row r="1536" spans="1:25" ht="15">
      <c r="A1536">
        <v>2013</v>
      </c>
      <c r="B1536" t="s">
        <v>574</v>
      </c>
      <c r="C1536" t="s">
        <v>16</v>
      </c>
      <c r="D1536" t="s">
        <v>16</v>
      </c>
      <c r="E1536" t="s">
        <v>20</v>
      </c>
      <c r="F1536" t="s">
        <v>232</v>
      </c>
      <c r="G1536" t="s">
        <v>439</v>
      </c>
      <c r="H1536" t="s">
        <v>20</v>
      </c>
      <c r="I1536" t="s">
        <v>20</v>
      </c>
      <c r="J1536" t="s">
        <v>279</v>
      </c>
      <c r="K1536"/>
      <c r="L1536"/>
      <c r="M1536" s="12">
        <v>536225.37</v>
      </c>
      <c r="N1536" s="12">
        <v>603750.05000000005</v>
      </c>
      <c r="O1536" s="12">
        <v>669984.14</v>
      </c>
      <c r="P1536" s="12">
        <v>913789.61</v>
      </c>
      <c r="Q1536" s="12">
        <v>948597.94</v>
      </c>
      <c r="R1536" s="12">
        <v>996740.16</v>
      </c>
      <c r="S1536" s="12">
        <v>956959.45</v>
      </c>
      <c r="T1536" s="12">
        <v>641373.68000000005</v>
      </c>
      <c r="U1536" s="12">
        <v>640650.14</v>
      </c>
      <c r="V1536" s="12">
        <v>465310.73</v>
      </c>
      <c r="W1536" s="12">
        <v>462000</v>
      </c>
      <c r="X1536" s="12">
        <v>450000</v>
      </c>
      <c r="Y1536" s="12">
        <f t="shared" si="26"/>
        <v>8285381.2699999996</v>
      </c>
    </row>
    <row r="1537" spans="1:25" ht="15">
      <c r="A1537">
        <v>2013</v>
      </c>
      <c r="B1537" t="s">
        <v>573</v>
      </c>
      <c r="C1537" t="s">
        <v>16</v>
      </c>
      <c r="D1537" t="s">
        <v>16</v>
      </c>
      <c r="E1537" t="s">
        <v>20</v>
      </c>
      <c r="F1537" t="s">
        <v>17</v>
      </c>
      <c r="G1537" t="s">
        <v>439</v>
      </c>
      <c r="H1537" t="s">
        <v>20</v>
      </c>
      <c r="I1537" t="s">
        <v>20</v>
      </c>
      <c r="J1537" t="s">
        <v>21</v>
      </c>
      <c r="K1537"/>
      <c r="L1537"/>
      <c r="M1537" s="12">
        <v>654</v>
      </c>
      <c r="N1537" s="12">
        <v>756</v>
      </c>
      <c r="O1537" s="12">
        <v>2639</v>
      </c>
      <c r="P1537" s="12">
        <v>3552.5</v>
      </c>
      <c r="Q1537" s="12">
        <v>3654</v>
      </c>
      <c r="R1537" s="12">
        <v>1839.32</v>
      </c>
      <c r="S1537" s="12">
        <v>2717.4</v>
      </c>
      <c r="T1537" s="12">
        <v>2458.6</v>
      </c>
      <c r="U1537" s="12">
        <v>1902.18</v>
      </c>
      <c r="V1537" s="12">
        <v>1177.54</v>
      </c>
      <c r="W1537" s="12">
        <v>2200</v>
      </c>
      <c r="X1537" s="12">
        <v>2000</v>
      </c>
      <c r="Y1537" s="12">
        <f t="shared" si="26"/>
        <v>25550.54</v>
      </c>
    </row>
    <row r="1538" spans="1:25" ht="15">
      <c r="A1538">
        <v>2013</v>
      </c>
      <c r="B1538" t="s">
        <v>573</v>
      </c>
      <c r="C1538" t="s">
        <v>16</v>
      </c>
      <c r="D1538" t="s">
        <v>16</v>
      </c>
      <c r="E1538" t="s">
        <v>27</v>
      </c>
      <c r="F1538" t="s">
        <v>227</v>
      </c>
      <c r="G1538" t="s">
        <v>439</v>
      </c>
      <c r="H1538" t="s">
        <v>27</v>
      </c>
      <c r="I1538" t="s">
        <v>27</v>
      </c>
      <c r="J1538" t="s">
        <v>28</v>
      </c>
      <c r="K1538"/>
      <c r="L1538"/>
      <c r="M1538" s="12">
        <v>608.54999999999995</v>
      </c>
      <c r="N1538" s="12">
        <v>707.08</v>
      </c>
      <c r="O1538" s="12">
        <v>794.73</v>
      </c>
      <c r="P1538" s="12">
        <v>900.31</v>
      </c>
      <c r="Q1538" s="12">
        <v>768.05</v>
      </c>
      <c r="R1538" s="12">
        <v>940.67</v>
      </c>
      <c r="S1538" s="12">
        <v>795.24</v>
      </c>
      <c r="T1538" s="12">
        <v>743.67</v>
      </c>
      <c r="U1538" s="12">
        <v>796.46</v>
      </c>
      <c r="V1538" s="12">
        <v>821.91</v>
      </c>
      <c r="W1538" s="12">
        <v>650</v>
      </c>
      <c r="X1538" s="12">
        <v>700</v>
      </c>
      <c r="Y1538" s="12">
        <f t="shared" si="26"/>
        <v>9226.67</v>
      </c>
    </row>
    <row r="1539" spans="1:25" ht="15">
      <c r="A1539">
        <v>2013</v>
      </c>
      <c r="B1539" t="s">
        <v>573</v>
      </c>
      <c r="C1539" t="s">
        <v>16</v>
      </c>
      <c r="D1539" t="s">
        <v>16</v>
      </c>
      <c r="E1539" t="s">
        <v>27</v>
      </c>
      <c r="F1539" t="s">
        <v>228</v>
      </c>
      <c r="G1539" t="s">
        <v>439</v>
      </c>
      <c r="H1539" t="s">
        <v>27</v>
      </c>
      <c r="I1539" t="s">
        <v>27</v>
      </c>
      <c r="J1539" t="s">
        <v>28</v>
      </c>
      <c r="K1539"/>
      <c r="L1539"/>
      <c r="M1539" s="12">
        <v>39.840000000000003</v>
      </c>
      <c r="N1539" s="12">
        <v>50.49</v>
      </c>
      <c r="O1539" s="12">
        <v>46.39</v>
      </c>
      <c r="P1539" s="12">
        <v>49.68</v>
      </c>
      <c r="Q1539" s="12">
        <v>41.5</v>
      </c>
      <c r="R1539" s="12">
        <v>49.2</v>
      </c>
      <c r="S1539" s="12">
        <v>51.61</v>
      </c>
      <c r="T1539" s="12">
        <v>72.680000000000007</v>
      </c>
      <c r="U1539" s="12">
        <v>53.67</v>
      </c>
      <c r="V1539" s="12"/>
      <c r="W1539" s="12">
        <v>80</v>
      </c>
      <c r="X1539" s="12">
        <v>100</v>
      </c>
      <c r="Y1539" s="12">
        <f t="shared" si="26"/>
        <v>635.06000000000006</v>
      </c>
    </row>
    <row r="1540" spans="1:25" ht="15">
      <c r="A1540">
        <v>2013</v>
      </c>
      <c r="B1540" t="s">
        <v>573</v>
      </c>
      <c r="C1540" t="s">
        <v>16</v>
      </c>
      <c r="D1540" t="s">
        <v>16</v>
      </c>
      <c r="E1540" t="s">
        <v>27</v>
      </c>
      <c r="F1540" t="s">
        <v>53</v>
      </c>
      <c r="G1540" t="s">
        <v>439</v>
      </c>
      <c r="H1540" t="s">
        <v>27</v>
      </c>
      <c r="I1540" t="s">
        <v>27</v>
      </c>
      <c r="J1540" t="s">
        <v>28</v>
      </c>
      <c r="K1540"/>
      <c r="L1540"/>
      <c r="M1540" s="12">
        <v>146.88</v>
      </c>
      <c r="N1540" s="12">
        <v>188.38</v>
      </c>
      <c r="O1540" s="12">
        <v>298.44</v>
      </c>
      <c r="P1540" s="12">
        <v>300.7</v>
      </c>
      <c r="Q1540" s="12">
        <v>446.15</v>
      </c>
      <c r="R1540" s="12">
        <v>309.87</v>
      </c>
      <c r="S1540" s="12">
        <v>299.75</v>
      </c>
      <c r="T1540" s="12">
        <v>300.95999999999998</v>
      </c>
      <c r="U1540" s="12">
        <v>307.2</v>
      </c>
      <c r="V1540" s="12">
        <v>299.77999999999997</v>
      </c>
      <c r="W1540" s="12">
        <v>300</v>
      </c>
      <c r="X1540" s="12">
        <v>300</v>
      </c>
      <c r="Y1540" s="12">
        <f t="shared" si="26"/>
        <v>3498.1099999999997</v>
      </c>
    </row>
    <row r="1541" spans="1:25" ht="15">
      <c r="A1541">
        <v>2013</v>
      </c>
      <c r="B1541" t="s">
        <v>573</v>
      </c>
      <c r="C1541" t="s">
        <v>16</v>
      </c>
      <c r="D1541" t="s">
        <v>16</v>
      </c>
      <c r="E1541" t="s">
        <v>27</v>
      </c>
      <c r="F1541" t="s">
        <v>231</v>
      </c>
      <c r="G1541" t="s">
        <v>439</v>
      </c>
      <c r="H1541" t="s">
        <v>27</v>
      </c>
      <c r="I1541" t="s">
        <v>27</v>
      </c>
      <c r="J1541" t="s">
        <v>28</v>
      </c>
      <c r="K1541"/>
      <c r="L1541"/>
      <c r="M1541" s="12">
        <v>124.11</v>
      </c>
      <c r="N1541" s="12">
        <v>127.26</v>
      </c>
      <c r="O1541" s="12">
        <v>140.25</v>
      </c>
      <c r="P1541" s="12">
        <v>148.81</v>
      </c>
      <c r="Q1541" s="12">
        <v>123.66</v>
      </c>
      <c r="R1541" s="12">
        <v>198.91</v>
      </c>
      <c r="S1541" s="12">
        <v>200.34</v>
      </c>
      <c r="T1541" s="12">
        <v>239.7</v>
      </c>
      <c r="U1541" s="12">
        <v>98.67</v>
      </c>
      <c r="V1541" s="12">
        <v>141.19999999999999</v>
      </c>
      <c r="W1541" s="12">
        <v>200</v>
      </c>
      <c r="X1541" s="12">
        <v>200</v>
      </c>
      <c r="Y1541" s="12">
        <f t="shared" si="26"/>
        <v>1942.91</v>
      </c>
    </row>
    <row r="1542" spans="1:25" ht="15">
      <c r="A1542">
        <v>2013</v>
      </c>
      <c r="B1542" t="s">
        <v>573</v>
      </c>
      <c r="C1542" t="s">
        <v>16</v>
      </c>
      <c r="D1542" t="s">
        <v>16</v>
      </c>
      <c r="E1542" t="s">
        <v>27</v>
      </c>
      <c r="F1542" t="s">
        <v>232</v>
      </c>
      <c r="G1542" t="s">
        <v>439</v>
      </c>
      <c r="H1542" t="s">
        <v>27</v>
      </c>
      <c r="I1542" t="s">
        <v>27</v>
      </c>
      <c r="J1542" t="s">
        <v>28</v>
      </c>
      <c r="K1542"/>
      <c r="L1542"/>
      <c r="M1542" s="12">
        <v>93.06</v>
      </c>
      <c r="N1542" s="12">
        <v>99.6</v>
      </c>
      <c r="O1542" s="12">
        <v>96.31</v>
      </c>
      <c r="P1542" s="12">
        <v>108</v>
      </c>
      <c r="Q1542" s="12">
        <v>187.74</v>
      </c>
      <c r="R1542" s="12">
        <v>198.88</v>
      </c>
      <c r="S1542" s="12">
        <v>190.99</v>
      </c>
      <c r="T1542" s="12">
        <v>98.07</v>
      </c>
      <c r="U1542" s="12">
        <v>100.55</v>
      </c>
      <c r="V1542" s="12">
        <v>200.51</v>
      </c>
      <c r="W1542" s="12">
        <v>200</v>
      </c>
      <c r="X1542" s="12">
        <v>200</v>
      </c>
      <c r="Y1542" s="12">
        <f t="shared" si="26"/>
        <v>1773.71</v>
      </c>
    </row>
    <row r="1543" spans="1:25" ht="15">
      <c r="A1543">
        <v>2013</v>
      </c>
      <c r="B1543" t="s">
        <v>573</v>
      </c>
      <c r="C1543" t="s">
        <v>16</v>
      </c>
      <c r="D1543" t="s">
        <v>16</v>
      </c>
      <c r="E1543" t="s">
        <v>27</v>
      </c>
      <c r="F1543" t="s">
        <v>165</v>
      </c>
      <c r="G1543" t="s">
        <v>439</v>
      </c>
      <c r="H1543" t="s">
        <v>27</v>
      </c>
      <c r="I1543" t="s">
        <v>27</v>
      </c>
      <c r="J1543" t="s">
        <v>28</v>
      </c>
      <c r="K1543"/>
      <c r="L1543"/>
      <c r="M1543" s="12">
        <v>94.51</v>
      </c>
      <c r="N1543" s="12">
        <v>101.1</v>
      </c>
      <c r="O1543" s="12">
        <v>161</v>
      </c>
      <c r="P1543" s="12">
        <v>334.4</v>
      </c>
      <c r="Q1543" s="12">
        <v>76.099999999999994</v>
      </c>
      <c r="R1543" s="12">
        <v>198.2</v>
      </c>
      <c r="S1543" s="12">
        <v>391.56</v>
      </c>
      <c r="T1543" s="12">
        <v>132.6</v>
      </c>
      <c r="U1543" s="12">
        <v>200.9</v>
      </c>
      <c r="V1543" s="12">
        <v>226.86</v>
      </c>
      <c r="W1543" s="12">
        <v>200</v>
      </c>
      <c r="X1543" s="12">
        <v>200</v>
      </c>
      <c r="Y1543" s="12">
        <f t="shared" si="26"/>
        <v>2317.23</v>
      </c>
    </row>
    <row r="1544" spans="1:25" ht="15">
      <c r="A1544">
        <v>2013</v>
      </c>
      <c r="B1544" t="s">
        <v>573</v>
      </c>
      <c r="C1544" t="s">
        <v>16</v>
      </c>
      <c r="D1544" t="s">
        <v>16</v>
      </c>
      <c r="E1544" t="s">
        <v>27</v>
      </c>
      <c r="F1544" t="s">
        <v>156</v>
      </c>
      <c r="G1544" t="s">
        <v>439</v>
      </c>
      <c r="H1544" t="s">
        <v>27</v>
      </c>
      <c r="I1544" t="s">
        <v>27</v>
      </c>
      <c r="J1544" t="s">
        <v>28</v>
      </c>
      <c r="K1544"/>
      <c r="L1544"/>
      <c r="M1544" s="12">
        <v>47.76</v>
      </c>
      <c r="N1544" s="12">
        <v>58.89</v>
      </c>
      <c r="O1544" s="12">
        <v>55</v>
      </c>
      <c r="P1544" s="12">
        <v>57.96</v>
      </c>
      <c r="Q1544" s="12">
        <v>48.89</v>
      </c>
      <c r="R1544" s="12">
        <v>62</v>
      </c>
      <c r="S1544" s="12">
        <v>42.6</v>
      </c>
      <c r="T1544" s="12">
        <v>59.8</v>
      </c>
      <c r="U1544" s="12">
        <v>60.25</v>
      </c>
      <c r="V1544" s="12">
        <v>58</v>
      </c>
      <c r="W1544" s="12">
        <v>60</v>
      </c>
      <c r="X1544" s="12">
        <v>60</v>
      </c>
      <c r="Y1544" s="12">
        <f t="shared" si="26"/>
        <v>671.15000000000009</v>
      </c>
    </row>
    <row r="1545" spans="1:25" ht="15">
      <c r="A1545">
        <v>2013</v>
      </c>
      <c r="B1545" t="s">
        <v>573</v>
      </c>
      <c r="C1545" t="s">
        <v>16</v>
      </c>
      <c r="D1545" t="s">
        <v>16</v>
      </c>
      <c r="E1545" t="s">
        <v>27</v>
      </c>
      <c r="F1545" t="s">
        <v>204</v>
      </c>
      <c r="G1545" t="s">
        <v>439</v>
      </c>
      <c r="H1545" t="s">
        <v>27</v>
      </c>
      <c r="I1545" t="s">
        <v>27</v>
      </c>
      <c r="J1545" t="s">
        <v>28</v>
      </c>
      <c r="K1545"/>
      <c r="L1545"/>
      <c r="M1545" s="12">
        <v>60</v>
      </c>
      <c r="N1545" s="12">
        <v>58</v>
      </c>
      <c r="O1545" s="12">
        <v>53.14</v>
      </c>
      <c r="P1545" s="12">
        <v>60</v>
      </c>
      <c r="Q1545" s="12">
        <v>55</v>
      </c>
      <c r="R1545" s="12">
        <v>64.150000000000006</v>
      </c>
      <c r="S1545" s="12">
        <v>50</v>
      </c>
      <c r="T1545" s="12">
        <v>59</v>
      </c>
      <c r="U1545" s="12">
        <v>60</v>
      </c>
      <c r="V1545" s="12">
        <v>114.5</v>
      </c>
      <c r="W1545" s="12">
        <v>60</v>
      </c>
      <c r="X1545" s="12">
        <v>60</v>
      </c>
      <c r="Y1545" s="12">
        <f t="shared" si="26"/>
        <v>753.79</v>
      </c>
    </row>
    <row r="1546" spans="1:25" ht="15">
      <c r="A1546">
        <v>2013</v>
      </c>
      <c r="B1546" t="s">
        <v>573</v>
      </c>
      <c r="C1546" t="s">
        <v>16</v>
      </c>
      <c r="D1546" t="s">
        <v>16</v>
      </c>
      <c r="E1546" t="s">
        <v>27</v>
      </c>
      <c r="F1546" t="s">
        <v>259</v>
      </c>
      <c r="G1546" t="s">
        <v>439</v>
      </c>
      <c r="H1546" t="s">
        <v>27</v>
      </c>
      <c r="I1546" t="s">
        <v>27</v>
      </c>
      <c r="J1546" t="s">
        <v>28</v>
      </c>
      <c r="K1546"/>
      <c r="L1546"/>
      <c r="M1546" s="12">
        <v>50</v>
      </c>
      <c r="N1546" s="12">
        <v>72</v>
      </c>
      <c r="O1546" s="12">
        <v>135.15</v>
      </c>
      <c r="P1546" s="12">
        <v>148.71</v>
      </c>
      <c r="Q1546" s="12">
        <v>116.1</v>
      </c>
      <c r="R1546" s="12">
        <v>147.87</v>
      </c>
      <c r="S1546" s="12">
        <v>137.69999999999999</v>
      </c>
      <c r="T1546" s="12">
        <v>96.48</v>
      </c>
      <c r="U1546" s="12">
        <v>95.34</v>
      </c>
      <c r="V1546" s="12">
        <v>142.74</v>
      </c>
      <c r="W1546" s="12">
        <v>150</v>
      </c>
      <c r="X1546" s="12">
        <v>150</v>
      </c>
      <c r="Y1546" s="12">
        <f t="shared" si="26"/>
        <v>1442.0900000000001</v>
      </c>
    </row>
    <row r="1547" spans="1:25" ht="15">
      <c r="A1547">
        <v>2013</v>
      </c>
      <c r="B1547" t="s">
        <v>573</v>
      </c>
      <c r="C1547" t="s">
        <v>16</v>
      </c>
      <c r="D1547" t="s">
        <v>16</v>
      </c>
      <c r="E1547" t="s">
        <v>27</v>
      </c>
      <c r="F1547" t="s">
        <v>229</v>
      </c>
      <c r="G1547" t="s">
        <v>439</v>
      </c>
      <c r="H1547" t="s">
        <v>27</v>
      </c>
      <c r="I1547" t="s">
        <v>27</v>
      </c>
      <c r="J1547" t="s">
        <v>28</v>
      </c>
      <c r="K1547"/>
      <c r="L1547"/>
      <c r="M1547" s="12">
        <v>44.3</v>
      </c>
      <c r="N1547" s="12">
        <v>43</v>
      </c>
      <c r="O1547" s="12">
        <v>50</v>
      </c>
      <c r="P1547" s="12">
        <v>50</v>
      </c>
      <c r="Q1547" s="12">
        <v>50</v>
      </c>
      <c r="R1547" s="12">
        <v>49.8</v>
      </c>
      <c r="S1547" s="12">
        <v>44.7</v>
      </c>
      <c r="T1547" s="12">
        <v>47</v>
      </c>
      <c r="U1547" s="12">
        <v>52.7</v>
      </c>
      <c r="V1547" s="12">
        <v>45</v>
      </c>
      <c r="W1547" s="12">
        <v>50</v>
      </c>
      <c r="X1547" s="12">
        <v>50</v>
      </c>
      <c r="Y1547" s="12">
        <f t="shared" si="26"/>
        <v>576.5</v>
      </c>
    </row>
    <row r="1548" spans="1:25" ht="15">
      <c r="A1548">
        <v>2013</v>
      </c>
      <c r="B1548" t="s">
        <v>573</v>
      </c>
      <c r="C1548" t="s">
        <v>16</v>
      </c>
      <c r="D1548" t="s">
        <v>16</v>
      </c>
      <c r="E1548" t="s">
        <v>27</v>
      </c>
      <c r="F1548" t="s">
        <v>230</v>
      </c>
      <c r="G1548" t="s">
        <v>439</v>
      </c>
      <c r="H1548" t="s">
        <v>27</v>
      </c>
      <c r="I1548" t="s">
        <v>27</v>
      </c>
      <c r="J1548" t="s">
        <v>28</v>
      </c>
      <c r="K1548"/>
      <c r="L1548"/>
      <c r="M1548" s="12">
        <v>40.840000000000003</v>
      </c>
      <c r="N1548" s="12">
        <v>47.73</v>
      </c>
      <c r="O1548" s="12">
        <v>98.04</v>
      </c>
      <c r="P1548" s="12">
        <v>101</v>
      </c>
      <c r="Q1548" s="12">
        <v>87.72</v>
      </c>
      <c r="R1548" s="12">
        <v>104.28</v>
      </c>
      <c r="S1548" s="12">
        <v>103</v>
      </c>
      <c r="T1548" s="12">
        <v>47.14</v>
      </c>
      <c r="U1548" s="12">
        <v>52.85</v>
      </c>
      <c r="V1548" s="12">
        <v>49.14</v>
      </c>
      <c r="W1548" s="12">
        <v>50</v>
      </c>
      <c r="X1548" s="12">
        <v>50</v>
      </c>
      <c r="Y1548" s="12">
        <f t="shared" si="26"/>
        <v>831.74</v>
      </c>
    </row>
    <row r="1549" spans="1:25" ht="15">
      <c r="A1549">
        <v>2013</v>
      </c>
      <c r="B1549" t="s">
        <v>573</v>
      </c>
      <c r="C1549" t="s">
        <v>16</v>
      </c>
      <c r="D1549" t="s">
        <v>16</v>
      </c>
      <c r="E1549" t="s">
        <v>27</v>
      </c>
      <c r="F1549" t="s">
        <v>17</v>
      </c>
      <c r="G1549" t="s">
        <v>439</v>
      </c>
      <c r="H1549" t="s">
        <v>27</v>
      </c>
      <c r="I1549" t="s">
        <v>27</v>
      </c>
      <c r="J1549" t="s">
        <v>28</v>
      </c>
      <c r="K1549"/>
      <c r="L1549"/>
      <c r="M1549" s="12">
        <v>30</v>
      </c>
      <c r="N1549" s="12">
        <v>25.71</v>
      </c>
      <c r="O1549" s="12">
        <v>30</v>
      </c>
      <c r="P1549" s="12">
        <v>28.32</v>
      </c>
      <c r="Q1549" s="12">
        <v>25.34</v>
      </c>
      <c r="R1549" s="12">
        <v>32.520000000000003</v>
      </c>
      <c r="S1549" s="12">
        <v>29</v>
      </c>
      <c r="T1549" s="12">
        <v>26.7</v>
      </c>
      <c r="U1549" s="12">
        <v>27.93</v>
      </c>
      <c r="V1549" s="12">
        <v>30.5</v>
      </c>
      <c r="W1549" s="12">
        <v>30</v>
      </c>
      <c r="X1549" s="12">
        <v>30</v>
      </c>
      <c r="Y1549" s="12">
        <f t="shared" si="26"/>
        <v>346.02</v>
      </c>
    </row>
    <row r="1550" spans="1:25" ht="15">
      <c r="A1550">
        <v>2013</v>
      </c>
      <c r="B1550" t="s">
        <v>573</v>
      </c>
      <c r="C1550" t="s">
        <v>16</v>
      </c>
      <c r="D1550" t="s">
        <v>16</v>
      </c>
      <c r="E1550" t="s">
        <v>27</v>
      </c>
      <c r="F1550" t="s">
        <v>147</v>
      </c>
      <c r="G1550" t="s">
        <v>439</v>
      </c>
      <c r="H1550" t="s">
        <v>27</v>
      </c>
      <c r="I1550" t="s">
        <v>27</v>
      </c>
      <c r="J1550" t="s">
        <v>28</v>
      </c>
      <c r="K1550"/>
      <c r="L1550"/>
      <c r="M1550" s="12">
        <v>200</v>
      </c>
      <c r="N1550" s="12">
        <v>148.80000000000001</v>
      </c>
      <c r="O1550" s="12">
        <v>148.6</v>
      </c>
      <c r="P1550" s="12">
        <v>146.5</v>
      </c>
      <c r="Q1550" s="12">
        <v>324.89999999999998</v>
      </c>
      <c r="R1550" s="12">
        <v>200</v>
      </c>
      <c r="S1550" s="12">
        <v>200</v>
      </c>
      <c r="T1550" s="12">
        <v>299.60000000000002</v>
      </c>
      <c r="U1550" s="12">
        <v>300</v>
      </c>
      <c r="V1550" s="12">
        <v>354.1</v>
      </c>
      <c r="W1550" s="12">
        <v>280</v>
      </c>
      <c r="X1550" s="12">
        <v>300</v>
      </c>
      <c r="Y1550" s="12">
        <f t="shared" si="26"/>
        <v>2902.5</v>
      </c>
    </row>
    <row r="1551" spans="1:25" ht="15">
      <c r="A1551">
        <v>2013</v>
      </c>
      <c r="B1551" t="s">
        <v>573</v>
      </c>
      <c r="C1551" t="s">
        <v>16</v>
      </c>
      <c r="D1551" t="s">
        <v>16</v>
      </c>
      <c r="E1551" t="s">
        <v>27</v>
      </c>
      <c r="F1551" t="s">
        <v>233</v>
      </c>
      <c r="G1551" t="s">
        <v>439</v>
      </c>
      <c r="H1551" t="s">
        <v>27</v>
      </c>
      <c r="I1551" t="s">
        <v>27</v>
      </c>
      <c r="J1551" t="s">
        <v>28</v>
      </c>
      <c r="K1551"/>
      <c r="L1551"/>
      <c r="M1551" s="12">
        <v>141.78</v>
      </c>
      <c r="N1551" s="12">
        <v>216.53</v>
      </c>
      <c r="O1551" s="12">
        <v>460.1</v>
      </c>
      <c r="P1551" s="12">
        <v>496.27</v>
      </c>
      <c r="Q1551" s="12">
        <v>459.44</v>
      </c>
      <c r="R1551" s="12">
        <v>495.77</v>
      </c>
      <c r="S1551" s="12">
        <v>494.11</v>
      </c>
      <c r="T1551" s="12">
        <v>301.43</v>
      </c>
      <c r="U1551" s="12">
        <v>203.87</v>
      </c>
      <c r="V1551" s="12">
        <v>97.1</v>
      </c>
      <c r="W1551" s="12">
        <v>100</v>
      </c>
      <c r="X1551" s="12">
        <v>100</v>
      </c>
      <c r="Y1551" s="12">
        <f t="shared" si="26"/>
        <v>3566.4</v>
      </c>
    </row>
    <row r="1552" spans="1:25" ht="15">
      <c r="A1552">
        <v>2013</v>
      </c>
      <c r="B1552" t="s">
        <v>574</v>
      </c>
      <c r="C1552" t="s">
        <v>16</v>
      </c>
      <c r="D1552" t="s">
        <v>16</v>
      </c>
      <c r="E1552" t="s">
        <v>57</v>
      </c>
      <c r="F1552" t="s">
        <v>53</v>
      </c>
      <c r="G1552" t="s">
        <v>439</v>
      </c>
      <c r="H1552" t="s">
        <v>57</v>
      </c>
      <c r="I1552" t="s">
        <v>57</v>
      </c>
      <c r="J1552" t="s">
        <v>241</v>
      </c>
      <c r="K1552"/>
      <c r="L1552"/>
      <c r="M1552" s="12">
        <v>662.25</v>
      </c>
      <c r="N1552" s="12">
        <v>453.75</v>
      </c>
      <c r="O1552" s="12">
        <v>307.17</v>
      </c>
      <c r="P1552" s="12">
        <v>676.75</v>
      </c>
      <c r="Q1552" s="12"/>
      <c r="R1552" s="12">
        <v>1307.07</v>
      </c>
      <c r="S1552" s="12">
        <v>537.58000000000004</v>
      </c>
      <c r="T1552" s="12">
        <v>689.49</v>
      </c>
      <c r="U1552" s="12">
        <v>296.68</v>
      </c>
      <c r="V1552" s="12">
        <v>81.010000000000005</v>
      </c>
      <c r="W1552" s="12">
        <v>3200</v>
      </c>
      <c r="X1552" s="12">
        <v>1500</v>
      </c>
      <c r="Y1552" s="12">
        <f t="shared" si="26"/>
        <v>9711.75</v>
      </c>
    </row>
    <row r="1553" spans="1:25" ht="15">
      <c r="A1553">
        <v>2013</v>
      </c>
      <c r="B1553" t="s">
        <v>574</v>
      </c>
      <c r="C1553" t="s">
        <v>16</v>
      </c>
      <c r="D1553" t="s">
        <v>16</v>
      </c>
      <c r="E1553" t="s">
        <v>57</v>
      </c>
      <c r="F1553" t="s">
        <v>53</v>
      </c>
      <c r="G1553" t="s">
        <v>439</v>
      </c>
      <c r="H1553" t="s">
        <v>57</v>
      </c>
      <c r="I1553" t="s">
        <v>57</v>
      </c>
      <c r="J1553" t="s">
        <v>261</v>
      </c>
      <c r="K1553"/>
      <c r="L1553"/>
      <c r="M1553" s="12">
        <v>1303.01</v>
      </c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>
        <f t="shared" si="26"/>
        <v>1303.01</v>
      </c>
    </row>
    <row r="1554" spans="1:25" ht="15">
      <c r="A1554">
        <v>2013</v>
      </c>
      <c r="B1554" t="s">
        <v>574</v>
      </c>
      <c r="C1554" t="s">
        <v>16</v>
      </c>
      <c r="D1554" t="s">
        <v>16</v>
      </c>
      <c r="E1554" t="s">
        <v>57</v>
      </c>
      <c r="F1554" t="s">
        <v>53</v>
      </c>
      <c r="G1554" t="s">
        <v>439</v>
      </c>
      <c r="H1554" t="s">
        <v>57</v>
      </c>
      <c r="I1554" t="s">
        <v>57</v>
      </c>
      <c r="J1554" t="s">
        <v>326</v>
      </c>
      <c r="K1554"/>
      <c r="L1554"/>
      <c r="M1554" s="12">
        <v>6002.76</v>
      </c>
      <c r="N1554" s="12">
        <v>3993.08</v>
      </c>
      <c r="O1554" s="12">
        <v>7304.56</v>
      </c>
      <c r="P1554" s="12">
        <v>6033.11</v>
      </c>
      <c r="Q1554" s="12">
        <v>4828.5</v>
      </c>
      <c r="R1554" s="12">
        <v>11892.5</v>
      </c>
      <c r="S1554" s="12">
        <v>3685.95</v>
      </c>
      <c r="T1554" s="12">
        <v>9664.61</v>
      </c>
      <c r="U1554" s="12">
        <v>5657.27</v>
      </c>
      <c r="V1554" s="12">
        <v>2938.8</v>
      </c>
      <c r="W1554" s="12">
        <v>6400</v>
      </c>
      <c r="X1554" s="12">
        <v>5500</v>
      </c>
      <c r="Y1554" s="12">
        <f t="shared" si="26"/>
        <v>73901.14</v>
      </c>
    </row>
    <row r="1555" spans="1:25" ht="15">
      <c r="A1555">
        <v>2013</v>
      </c>
      <c r="B1555" t="s">
        <v>574</v>
      </c>
      <c r="C1555" t="s">
        <v>16</v>
      </c>
      <c r="D1555" t="s">
        <v>16</v>
      </c>
      <c r="E1555" t="s">
        <v>57</v>
      </c>
      <c r="F1555" t="s">
        <v>53</v>
      </c>
      <c r="G1555" t="s">
        <v>439</v>
      </c>
      <c r="H1555" t="s">
        <v>57</v>
      </c>
      <c r="I1555" t="s">
        <v>57</v>
      </c>
      <c r="J1555" t="s">
        <v>244</v>
      </c>
      <c r="K1555"/>
      <c r="L1555"/>
      <c r="M1555" s="12">
        <v>1913.07</v>
      </c>
      <c r="N1555" s="12">
        <v>4657.17</v>
      </c>
      <c r="O1555" s="12">
        <v>1663.4</v>
      </c>
      <c r="P1555" s="12">
        <v>2219.44</v>
      </c>
      <c r="Q1555" s="12">
        <v>3558.95</v>
      </c>
      <c r="R1555" s="12">
        <v>34.380000000000003</v>
      </c>
      <c r="S1555" s="12">
        <v>2301.6799999999998</v>
      </c>
      <c r="T1555" s="12">
        <v>5968.3</v>
      </c>
      <c r="U1555" s="12">
        <v>10463.790000000001</v>
      </c>
      <c r="V1555" s="12">
        <v>8203.0300000000007</v>
      </c>
      <c r="W1555" s="12">
        <v>4000</v>
      </c>
      <c r="X1555" s="12">
        <v>4500</v>
      </c>
      <c r="Y1555" s="12">
        <f t="shared" ref="Y1555:Y1618" si="27">SUM(M1555:X1555)</f>
        <v>49483.21</v>
      </c>
    </row>
    <row r="1556" spans="1:25" ht="15">
      <c r="A1556">
        <v>2013</v>
      </c>
      <c r="B1556" t="s">
        <v>574</v>
      </c>
      <c r="C1556" t="s">
        <v>16</v>
      </c>
      <c r="D1556" t="s">
        <v>16</v>
      </c>
      <c r="E1556" t="s">
        <v>57</v>
      </c>
      <c r="F1556" t="s">
        <v>53</v>
      </c>
      <c r="G1556" t="s">
        <v>439</v>
      </c>
      <c r="H1556" t="s">
        <v>57</v>
      </c>
      <c r="I1556" t="s">
        <v>57</v>
      </c>
      <c r="J1556" t="s">
        <v>58</v>
      </c>
      <c r="K1556"/>
      <c r="L1556"/>
      <c r="M1556" s="12">
        <v>1576.96</v>
      </c>
      <c r="N1556" s="12">
        <v>4105.51</v>
      </c>
      <c r="O1556" s="12">
        <v>3953.34</v>
      </c>
      <c r="P1556" s="12">
        <v>3994.55</v>
      </c>
      <c r="Q1556" s="12">
        <v>4002.33</v>
      </c>
      <c r="R1556" s="12">
        <v>8001.36</v>
      </c>
      <c r="S1556" s="12">
        <v>5394.81</v>
      </c>
      <c r="T1556" s="12">
        <v>3549.6</v>
      </c>
      <c r="U1556" s="12">
        <v>1966.76</v>
      </c>
      <c r="V1556" s="12">
        <v>1934.11</v>
      </c>
      <c r="W1556" s="12">
        <v>2000</v>
      </c>
      <c r="X1556" s="12">
        <v>3000</v>
      </c>
      <c r="Y1556" s="12">
        <f t="shared" si="27"/>
        <v>43479.330000000009</v>
      </c>
    </row>
    <row r="1557" spans="1:25" ht="15">
      <c r="A1557">
        <v>2013</v>
      </c>
      <c r="B1557" t="s">
        <v>573</v>
      </c>
      <c r="C1557" t="s">
        <v>16</v>
      </c>
      <c r="D1557" t="s">
        <v>16</v>
      </c>
      <c r="E1557" t="s">
        <v>57</v>
      </c>
      <c r="F1557" t="s">
        <v>165</v>
      </c>
      <c r="G1557" t="s">
        <v>439</v>
      </c>
      <c r="H1557" t="s">
        <v>57</v>
      </c>
      <c r="I1557" t="s">
        <v>57</v>
      </c>
      <c r="J1557" t="s">
        <v>261</v>
      </c>
      <c r="K1557"/>
      <c r="L1557"/>
      <c r="M1557" s="12"/>
      <c r="N1557" s="12"/>
      <c r="O1557" s="12"/>
      <c r="P1557" s="12"/>
      <c r="Q1557" s="12"/>
      <c r="R1557" s="12"/>
      <c r="S1557" s="12"/>
      <c r="T1557" s="12">
        <v>1140</v>
      </c>
      <c r="U1557" s="12"/>
      <c r="V1557" s="12">
        <v>438</v>
      </c>
      <c r="W1557" s="12"/>
      <c r="X1557" s="12">
        <v>300</v>
      </c>
      <c r="Y1557" s="12">
        <f t="shared" si="27"/>
        <v>1878</v>
      </c>
    </row>
    <row r="1558" spans="1:25" ht="15">
      <c r="A1558">
        <v>2013</v>
      </c>
      <c r="B1558" t="s">
        <v>573</v>
      </c>
      <c r="C1558" t="s">
        <v>16</v>
      </c>
      <c r="D1558" t="s">
        <v>16</v>
      </c>
      <c r="E1558" t="s">
        <v>57</v>
      </c>
      <c r="F1558" t="s">
        <v>147</v>
      </c>
      <c r="G1558" t="s">
        <v>439</v>
      </c>
      <c r="H1558" t="s">
        <v>57</v>
      </c>
      <c r="I1558" t="s">
        <v>57</v>
      </c>
      <c r="J1558" t="s">
        <v>261</v>
      </c>
      <c r="K1558"/>
      <c r="L1558"/>
      <c r="M1558" s="12">
        <v>4141.25</v>
      </c>
      <c r="N1558" s="12">
        <v>2111.7600000000002</v>
      </c>
      <c r="O1558" s="12"/>
      <c r="P1558" s="12">
        <v>6791.4</v>
      </c>
      <c r="Q1558" s="12">
        <v>1314.07</v>
      </c>
      <c r="R1558" s="12">
        <v>2096.4</v>
      </c>
      <c r="S1558" s="12"/>
      <c r="T1558" s="12">
        <v>6006</v>
      </c>
      <c r="U1558" s="12">
        <v>3670.2</v>
      </c>
      <c r="V1558" s="12">
        <v>5151.1000000000004</v>
      </c>
      <c r="W1558" s="12">
        <v>8000</v>
      </c>
      <c r="X1558" s="12">
        <v>8000</v>
      </c>
      <c r="Y1558" s="12">
        <f t="shared" si="27"/>
        <v>47282.18</v>
      </c>
    </row>
    <row r="1559" spans="1:25" ht="15">
      <c r="A1559">
        <v>2013</v>
      </c>
      <c r="B1559" t="s">
        <v>573</v>
      </c>
      <c r="C1559" t="s">
        <v>16</v>
      </c>
      <c r="D1559" t="s">
        <v>16</v>
      </c>
      <c r="E1559" t="s">
        <v>57</v>
      </c>
      <c r="F1559" t="s">
        <v>147</v>
      </c>
      <c r="G1559" t="s">
        <v>439</v>
      </c>
      <c r="H1559" t="s">
        <v>57</v>
      </c>
      <c r="I1559" t="s">
        <v>57</v>
      </c>
      <c r="J1559" t="s">
        <v>244</v>
      </c>
      <c r="K1559"/>
      <c r="L1559"/>
      <c r="M1559" s="12"/>
      <c r="N1559" s="12"/>
      <c r="O1559" s="12"/>
      <c r="P1559" s="12"/>
      <c r="Q1559" s="12"/>
      <c r="R1559" s="12"/>
      <c r="S1559" s="12"/>
      <c r="T1559" s="12">
        <v>8.8000000000000007</v>
      </c>
      <c r="U1559" s="12"/>
      <c r="V1559" s="12"/>
      <c r="W1559" s="12"/>
      <c r="X1559" s="12"/>
      <c r="Y1559" s="12">
        <f t="shared" si="27"/>
        <v>8.8000000000000007</v>
      </c>
    </row>
    <row r="1560" spans="1:25" ht="15">
      <c r="A1560">
        <v>2013</v>
      </c>
      <c r="B1560" t="s">
        <v>573</v>
      </c>
      <c r="C1560" t="s">
        <v>16</v>
      </c>
      <c r="D1560" t="s">
        <v>16</v>
      </c>
      <c r="E1560" t="s">
        <v>57</v>
      </c>
      <c r="F1560" t="s">
        <v>233</v>
      </c>
      <c r="G1560" t="s">
        <v>439</v>
      </c>
      <c r="H1560" t="s">
        <v>57</v>
      </c>
      <c r="I1560" t="s">
        <v>57</v>
      </c>
      <c r="J1560" t="s">
        <v>261</v>
      </c>
      <c r="K1560"/>
      <c r="L1560"/>
      <c r="M1560" s="12">
        <v>4813.1000000000004</v>
      </c>
      <c r="N1560" s="12">
        <v>3573.34</v>
      </c>
      <c r="O1560" s="12">
        <v>10269.4</v>
      </c>
      <c r="P1560" s="12">
        <v>15119.48</v>
      </c>
      <c r="Q1560" s="12">
        <v>16154.39</v>
      </c>
      <c r="R1560" s="12">
        <v>18422.240000000002</v>
      </c>
      <c r="S1560" s="12">
        <v>15299.14</v>
      </c>
      <c r="T1560" s="12">
        <v>12306.78</v>
      </c>
      <c r="U1560" s="12">
        <v>5474.95</v>
      </c>
      <c r="V1560" s="12">
        <v>3136.19</v>
      </c>
      <c r="W1560" s="12"/>
      <c r="X1560" s="12">
        <v>2000</v>
      </c>
      <c r="Y1560" s="12">
        <f t="shared" si="27"/>
        <v>106569.01</v>
      </c>
    </row>
    <row r="1561" spans="1:25" ht="15">
      <c r="A1561">
        <v>2013</v>
      </c>
      <c r="B1561" t="s">
        <v>573</v>
      </c>
      <c r="C1561" t="s">
        <v>16</v>
      </c>
      <c r="D1561" t="s">
        <v>16</v>
      </c>
      <c r="E1561" t="s">
        <v>57</v>
      </c>
      <c r="F1561" t="s">
        <v>233</v>
      </c>
      <c r="G1561" t="s">
        <v>439</v>
      </c>
      <c r="H1561" t="s">
        <v>57</v>
      </c>
      <c r="I1561" t="s">
        <v>57</v>
      </c>
      <c r="J1561" t="s">
        <v>425</v>
      </c>
      <c r="K1561"/>
      <c r="L1561"/>
      <c r="M1561" s="12"/>
      <c r="N1561" s="12"/>
      <c r="O1561" s="12">
        <v>1809</v>
      </c>
      <c r="P1561" s="12"/>
      <c r="Q1561" s="12">
        <v>1809</v>
      </c>
      <c r="R1561" s="12">
        <v>1809</v>
      </c>
      <c r="S1561" s="12">
        <v>5427</v>
      </c>
      <c r="T1561" s="12"/>
      <c r="U1561" s="12"/>
      <c r="V1561" s="12"/>
      <c r="W1561" s="12"/>
      <c r="X1561" s="12"/>
      <c r="Y1561" s="12">
        <f t="shared" si="27"/>
        <v>10854</v>
      </c>
    </row>
    <row r="1562" spans="1:25" ht="15">
      <c r="A1562">
        <v>2013</v>
      </c>
      <c r="B1562" t="s">
        <v>573</v>
      </c>
      <c r="C1562" t="s">
        <v>16</v>
      </c>
      <c r="D1562" t="s">
        <v>16</v>
      </c>
      <c r="E1562" t="s">
        <v>22</v>
      </c>
      <c r="F1562" t="s">
        <v>231</v>
      </c>
      <c r="G1562" t="s">
        <v>439</v>
      </c>
      <c r="H1562" t="s">
        <v>22</v>
      </c>
      <c r="I1562" t="s">
        <v>23</v>
      </c>
      <c r="J1562" t="s">
        <v>24</v>
      </c>
      <c r="K1562"/>
      <c r="L1562"/>
      <c r="M1562" s="12">
        <v>386.34</v>
      </c>
      <c r="N1562" s="12">
        <v>518.58000000000004</v>
      </c>
      <c r="O1562" s="12">
        <v>1102.3900000000001</v>
      </c>
      <c r="P1562" s="12">
        <v>1288.23</v>
      </c>
      <c r="Q1562" s="12">
        <v>1784.35</v>
      </c>
      <c r="R1562" s="12">
        <v>1257.29</v>
      </c>
      <c r="S1562" s="12">
        <v>1168.99</v>
      </c>
      <c r="T1562" s="12">
        <v>1059.43</v>
      </c>
      <c r="U1562" s="12">
        <v>1302.43</v>
      </c>
      <c r="V1562" s="12">
        <v>1437.59</v>
      </c>
      <c r="W1562" s="12">
        <v>850</v>
      </c>
      <c r="X1562" s="12">
        <v>1200</v>
      </c>
      <c r="Y1562" s="12">
        <f t="shared" si="27"/>
        <v>13355.619999999999</v>
      </c>
    </row>
    <row r="1563" spans="1:25" ht="15">
      <c r="A1563">
        <v>2013</v>
      </c>
      <c r="B1563" t="s">
        <v>573</v>
      </c>
      <c r="C1563" t="s">
        <v>16</v>
      </c>
      <c r="D1563" t="s">
        <v>16</v>
      </c>
      <c r="E1563" t="s">
        <v>22</v>
      </c>
      <c r="F1563" t="s">
        <v>17</v>
      </c>
      <c r="G1563" t="s">
        <v>439</v>
      </c>
      <c r="H1563" t="s">
        <v>22</v>
      </c>
      <c r="I1563" t="s">
        <v>23</v>
      </c>
      <c r="J1563" t="s">
        <v>24</v>
      </c>
      <c r="K1563"/>
      <c r="L1563"/>
      <c r="M1563" s="12">
        <v>54.14</v>
      </c>
      <c r="N1563" s="12">
        <v>20.3</v>
      </c>
      <c r="O1563" s="12">
        <v>70.400000000000006</v>
      </c>
      <c r="P1563" s="12"/>
      <c r="Q1563" s="12">
        <v>106.94</v>
      </c>
      <c r="R1563" s="12">
        <v>24.3</v>
      </c>
      <c r="S1563" s="12">
        <v>151.72</v>
      </c>
      <c r="T1563" s="12">
        <v>221.73</v>
      </c>
      <c r="U1563" s="12">
        <v>90.66</v>
      </c>
      <c r="V1563" s="12"/>
      <c r="W1563" s="12">
        <v>150</v>
      </c>
      <c r="X1563" s="12">
        <v>150</v>
      </c>
      <c r="Y1563" s="12">
        <f t="shared" si="27"/>
        <v>1040.19</v>
      </c>
    </row>
    <row r="1564" spans="1:25" ht="15">
      <c r="A1564">
        <v>2013</v>
      </c>
      <c r="B1564" t="s">
        <v>573</v>
      </c>
      <c r="C1564" t="s">
        <v>16</v>
      </c>
      <c r="D1564" t="s">
        <v>16</v>
      </c>
      <c r="E1564" t="s">
        <v>22</v>
      </c>
      <c r="F1564" t="s">
        <v>233</v>
      </c>
      <c r="G1564" t="s">
        <v>439</v>
      </c>
      <c r="H1564" t="s">
        <v>22</v>
      </c>
      <c r="I1564" t="s">
        <v>23</v>
      </c>
      <c r="J1564" t="s">
        <v>24</v>
      </c>
      <c r="K1564"/>
      <c r="L1564"/>
      <c r="M1564" s="12"/>
      <c r="N1564" s="12"/>
      <c r="O1564" s="12">
        <v>72</v>
      </c>
      <c r="P1564" s="12"/>
      <c r="Q1564" s="12"/>
      <c r="R1564" s="12"/>
      <c r="S1564" s="12"/>
      <c r="T1564" s="12"/>
      <c r="U1564" s="12"/>
      <c r="V1564" s="12"/>
      <c r="W1564" s="12"/>
      <c r="X1564" s="12"/>
      <c r="Y1564" s="12">
        <f t="shared" si="27"/>
        <v>72</v>
      </c>
    </row>
    <row r="1565" spans="1:25" ht="15">
      <c r="A1565">
        <v>2013</v>
      </c>
      <c r="B1565" t="s">
        <v>573</v>
      </c>
      <c r="C1565" t="s">
        <v>16</v>
      </c>
      <c r="D1565" t="s">
        <v>16</v>
      </c>
      <c r="E1565" t="s">
        <v>149</v>
      </c>
      <c r="F1565" t="s">
        <v>227</v>
      </c>
      <c r="G1565" t="s">
        <v>439</v>
      </c>
      <c r="H1565" t="s">
        <v>149</v>
      </c>
      <c r="I1565" t="s">
        <v>149</v>
      </c>
      <c r="J1565" t="s">
        <v>150</v>
      </c>
      <c r="K1565"/>
      <c r="L1565"/>
      <c r="M1565" s="12">
        <v>1218.1021029184328</v>
      </c>
      <c r="N1565" s="12">
        <v>946.09394243846793</v>
      </c>
      <c r="O1565" s="12">
        <v>1735.9245778744953</v>
      </c>
      <c r="P1565" s="12">
        <v>1874.3423286525406</v>
      </c>
      <c r="Q1565" s="12">
        <v>1602.3997935851578</v>
      </c>
      <c r="R1565" s="12">
        <v>1562.0441870640643</v>
      </c>
      <c r="S1565" s="12">
        <v>7892.5413959371281</v>
      </c>
      <c r="T1565" s="12">
        <v>1561.5418866170608</v>
      </c>
      <c r="U1565" s="12">
        <v>1437.325074813763</v>
      </c>
      <c r="V1565" s="12">
        <v>2428.8457331225868</v>
      </c>
      <c r="W1565" s="12">
        <v>2388.44</v>
      </c>
      <c r="X1565" s="12">
        <v>2388.44</v>
      </c>
      <c r="Y1565" s="12">
        <f t="shared" si="27"/>
        <v>27036.041023023696</v>
      </c>
    </row>
    <row r="1566" spans="1:25" ht="15">
      <c r="A1566">
        <v>2013</v>
      </c>
      <c r="B1566" t="s">
        <v>573</v>
      </c>
      <c r="C1566" t="s">
        <v>16</v>
      </c>
      <c r="D1566" t="s">
        <v>16</v>
      </c>
      <c r="E1566" t="s">
        <v>149</v>
      </c>
      <c r="F1566" t="s">
        <v>228</v>
      </c>
      <c r="G1566" t="s">
        <v>439</v>
      </c>
      <c r="H1566" t="s">
        <v>149</v>
      </c>
      <c r="I1566" t="s">
        <v>149</v>
      </c>
      <c r="J1566" t="s">
        <v>150</v>
      </c>
      <c r="K1566"/>
      <c r="L1566"/>
      <c r="M1566" s="12">
        <v>5328.3783818762486</v>
      </c>
      <c r="N1566" s="12">
        <v>4141.175188435046</v>
      </c>
      <c r="O1566" s="12">
        <v>7593.5038377759802</v>
      </c>
      <c r="P1566" s="12">
        <v>8198.9885086805007</v>
      </c>
      <c r="Q1566" s="12">
        <v>7009.4226081751194</v>
      </c>
      <c r="R1566" s="12">
        <v>6832.8939404556304</v>
      </c>
      <c r="S1566" s="12">
        <v>7127.2232510152289</v>
      </c>
      <c r="T1566" s="12">
        <v>6830.6967134443576</v>
      </c>
      <c r="U1566" s="12">
        <v>6287.331610393876</v>
      </c>
      <c r="V1566" s="12">
        <v>7316.7904862664873</v>
      </c>
      <c r="W1566" s="12">
        <v>7195.07</v>
      </c>
      <c r="X1566" s="12">
        <v>7195.07</v>
      </c>
      <c r="Y1566" s="12">
        <f t="shared" si="27"/>
        <v>81056.544526518497</v>
      </c>
    </row>
    <row r="1567" spans="1:25" ht="15">
      <c r="A1567">
        <v>2013</v>
      </c>
      <c r="B1567" t="s">
        <v>573</v>
      </c>
      <c r="C1567" t="s">
        <v>16</v>
      </c>
      <c r="D1567" t="s">
        <v>16</v>
      </c>
      <c r="E1567" t="s">
        <v>149</v>
      </c>
      <c r="F1567" t="s">
        <v>53</v>
      </c>
      <c r="G1567" t="s">
        <v>439</v>
      </c>
      <c r="H1567" t="s">
        <v>149</v>
      </c>
      <c r="I1567" t="s">
        <v>149</v>
      </c>
      <c r="J1567" t="s">
        <v>150</v>
      </c>
      <c r="K1567"/>
      <c r="L1567"/>
      <c r="M1567" s="12">
        <v>3497.9223315457921</v>
      </c>
      <c r="N1567" s="12">
        <v>2718.5813771772036</v>
      </c>
      <c r="O1567" s="12">
        <v>9845.8238680677259</v>
      </c>
      <c r="P1567" s="12">
        <v>10430.926327565803</v>
      </c>
      <c r="Q1567" s="12">
        <v>8917.5354676055613</v>
      </c>
      <c r="R1567" s="12">
        <v>8692.9519685878677</v>
      </c>
      <c r="S1567" s="12">
        <v>8065.3736793898106</v>
      </c>
      <c r="T1567" s="12">
        <v>8690.1566099829306</v>
      </c>
      <c r="U1567" s="12">
        <v>7469.2947614868972</v>
      </c>
      <c r="V1567" s="12">
        <v>6035.8307268721264</v>
      </c>
      <c r="W1567" s="12">
        <v>5172.4799999999996</v>
      </c>
      <c r="X1567" s="12">
        <v>5172.4799999999996</v>
      </c>
      <c r="Y1567" s="12">
        <f t="shared" si="27"/>
        <v>84709.357118281725</v>
      </c>
    </row>
    <row r="1568" spans="1:25" ht="15">
      <c r="A1568">
        <v>2013</v>
      </c>
      <c r="B1568" t="s">
        <v>573</v>
      </c>
      <c r="C1568" t="s">
        <v>16</v>
      </c>
      <c r="D1568" t="s">
        <v>16</v>
      </c>
      <c r="E1568" t="s">
        <v>149</v>
      </c>
      <c r="F1568" t="s">
        <v>231</v>
      </c>
      <c r="G1568" t="s">
        <v>439</v>
      </c>
      <c r="H1568" t="s">
        <v>149</v>
      </c>
      <c r="I1568" t="s">
        <v>149</v>
      </c>
      <c r="J1568" t="s">
        <v>150</v>
      </c>
      <c r="K1568"/>
      <c r="L1568"/>
      <c r="M1568" s="12">
        <v>2354.7056184811509</v>
      </c>
      <c r="N1568" s="12">
        <v>1830.0357280744086</v>
      </c>
      <c r="O1568" s="12">
        <v>3355.7050324329916</v>
      </c>
      <c r="P1568" s="12">
        <v>3623.2795277677333</v>
      </c>
      <c r="Q1568" s="12">
        <v>3097.5891002633543</v>
      </c>
      <c r="R1568" s="12">
        <v>3019.5779276492008</v>
      </c>
      <c r="S1568" s="12">
        <v>4605.61949945171</v>
      </c>
      <c r="T1568" s="12">
        <v>3018.6069337711906</v>
      </c>
      <c r="U1568" s="12">
        <v>2778.4841854709794</v>
      </c>
      <c r="V1568" s="12">
        <v>3233.4204578756721</v>
      </c>
      <c r="W1568" s="12">
        <v>3179.63</v>
      </c>
      <c r="X1568" s="12">
        <v>3179.63</v>
      </c>
      <c r="Y1568" s="12">
        <f t="shared" si="27"/>
        <v>37276.284011238393</v>
      </c>
    </row>
    <row r="1569" spans="1:25" ht="15">
      <c r="A1569">
        <v>2013</v>
      </c>
      <c r="B1569" t="s">
        <v>573</v>
      </c>
      <c r="C1569" t="s">
        <v>16</v>
      </c>
      <c r="D1569" t="s">
        <v>16</v>
      </c>
      <c r="E1569" t="s">
        <v>149</v>
      </c>
      <c r="F1569" t="s">
        <v>232</v>
      </c>
      <c r="G1569" t="s">
        <v>439</v>
      </c>
      <c r="H1569" t="s">
        <v>149</v>
      </c>
      <c r="I1569" t="s">
        <v>149</v>
      </c>
      <c r="J1569" t="s">
        <v>150</v>
      </c>
      <c r="K1569"/>
      <c r="L1569"/>
      <c r="M1569" s="12">
        <v>14269.495460438044</v>
      </c>
      <c r="N1569" s="12">
        <v>10990.573061246874</v>
      </c>
      <c r="O1569" s="12">
        <v>20156.614718501016</v>
      </c>
      <c r="P1569" s="12">
        <v>21763.846569582205</v>
      </c>
      <c r="Q1569" s="12">
        <v>18606.19734058328</v>
      </c>
      <c r="R1569" s="12">
        <v>18137.609924548709</v>
      </c>
      <c r="S1569" s="12">
        <v>19741.394509990347</v>
      </c>
      <c r="T1569" s="12">
        <v>18131.777484181064</v>
      </c>
      <c r="U1569" s="12">
        <v>15454.844770261812</v>
      </c>
      <c r="V1569" s="12">
        <v>17985.350254922058</v>
      </c>
      <c r="W1569" s="12">
        <v>17686.150000000001</v>
      </c>
      <c r="X1569" s="12">
        <v>17686.150000000001</v>
      </c>
      <c r="Y1569" s="12">
        <f t="shared" si="27"/>
        <v>210610.00409425542</v>
      </c>
    </row>
    <row r="1570" spans="1:25" ht="15">
      <c r="A1570">
        <v>2013</v>
      </c>
      <c r="B1570" t="s">
        <v>573</v>
      </c>
      <c r="C1570" t="s">
        <v>16</v>
      </c>
      <c r="D1570" t="s">
        <v>16</v>
      </c>
      <c r="E1570" t="s">
        <v>149</v>
      </c>
      <c r="F1570" t="s">
        <v>165</v>
      </c>
      <c r="G1570" t="s">
        <v>439</v>
      </c>
      <c r="H1570" t="s">
        <v>149</v>
      </c>
      <c r="I1570" t="s">
        <v>149</v>
      </c>
      <c r="J1570" t="s">
        <v>150</v>
      </c>
      <c r="K1570"/>
      <c r="L1570"/>
      <c r="M1570" s="12">
        <v>1709.3079003484368</v>
      </c>
      <c r="N1570" s="12">
        <v>1328.2146101873384</v>
      </c>
      <c r="O1570" s="12">
        <v>2435.9448918614935</v>
      </c>
      <c r="P1570" s="12">
        <v>2630.1802965837342</v>
      </c>
      <c r="Q1570" s="12">
        <v>2248.5755669656087</v>
      </c>
      <c r="R1570" s="12">
        <v>2191.9463592131633</v>
      </c>
      <c r="S1570" s="12">
        <v>3911.6427162664522</v>
      </c>
      <c r="T1570" s="12">
        <v>2191.2415035854165</v>
      </c>
      <c r="U1570" s="12">
        <v>2016.9336378796061</v>
      </c>
      <c r="V1570" s="12">
        <v>2347.1771122541222</v>
      </c>
      <c r="W1570" s="12">
        <v>2308.13</v>
      </c>
      <c r="X1570" s="12">
        <v>2308.13</v>
      </c>
      <c r="Y1570" s="12">
        <f t="shared" si="27"/>
        <v>27627.424595145374</v>
      </c>
    </row>
    <row r="1571" spans="1:25" ht="15">
      <c r="A1571">
        <v>2013</v>
      </c>
      <c r="B1571" t="s">
        <v>573</v>
      </c>
      <c r="C1571" t="s">
        <v>16</v>
      </c>
      <c r="D1571" t="s">
        <v>16</v>
      </c>
      <c r="E1571" t="s">
        <v>149</v>
      </c>
      <c r="F1571" t="s">
        <v>156</v>
      </c>
      <c r="G1571" t="s">
        <v>439</v>
      </c>
      <c r="H1571" t="s">
        <v>149</v>
      </c>
      <c r="I1571" t="s">
        <v>149</v>
      </c>
      <c r="J1571" t="s">
        <v>150</v>
      </c>
      <c r="K1571"/>
      <c r="L1571"/>
      <c r="M1571" s="12">
        <v>10971.472390000185</v>
      </c>
      <c r="N1571" s="12">
        <v>8526.3551406133465</v>
      </c>
      <c r="O1571" s="12">
        <v>15635.5107930949</v>
      </c>
      <c r="P1571" s="12">
        <v>16882.2425139488</v>
      </c>
      <c r="Q1571" s="12">
        <v>15491.589001735054</v>
      </c>
      <c r="R1571" s="12">
        <v>15986.27116816552</v>
      </c>
      <c r="S1571" s="12">
        <v>14870.263477439708</v>
      </c>
      <c r="T1571" s="12">
        <v>16128.318977831155</v>
      </c>
      <c r="U1571" s="12">
        <v>13760.209111117862</v>
      </c>
      <c r="V1571" s="12">
        <v>18320.719380513026</v>
      </c>
      <c r="W1571" s="12">
        <v>19102.71</v>
      </c>
      <c r="X1571" s="12">
        <v>18015.939999999999</v>
      </c>
      <c r="Y1571" s="12">
        <f t="shared" si="27"/>
        <v>183691.60195445956</v>
      </c>
    </row>
    <row r="1572" spans="1:25" ht="15">
      <c r="A1572">
        <v>2013</v>
      </c>
      <c r="B1572" t="s">
        <v>573</v>
      </c>
      <c r="C1572" t="s">
        <v>16</v>
      </c>
      <c r="D1572" t="s">
        <v>16</v>
      </c>
      <c r="E1572" t="s">
        <v>149</v>
      </c>
      <c r="F1572" t="s">
        <v>204</v>
      </c>
      <c r="G1572" t="s">
        <v>439</v>
      </c>
      <c r="H1572" t="s">
        <v>149</v>
      </c>
      <c r="I1572" t="s">
        <v>149</v>
      </c>
      <c r="J1572" t="s">
        <v>150</v>
      </c>
      <c r="K1572"/>
      <c r="L1572"/>
      <c r="M1572" s="12">
        <v>14822.382469506916</v>
      </c>
      <c r="N1572" s="12">
        <v>11518.866394068355</v>
      </c>
      <c r="O1572" s="12">
        <v>21123.465733969013</v>
      </c>
      <c r="P1572" s="12">
        <v>22807.791569779893</v>
      </c>
      <c r="Q1572" s="12">
        <v>18439.950456524461</v>
      </c>
      <c r="R1572" s="12">
        <v>17975.549881916912</v>
      </c>
      <c r="S1572" s="12">
        <v>21386.612492739649</v>
      </c>
      <c r="T1572" s="12">
        <v>17969.769554564078</v>
      </c>
      <c r="U1572" s="12">
        <v>16540.318636828106</v>
      </c>
      <c r="V1572" s="12">
        <v>16977.748009855328</v>
      </c>
      <c r="W1572" s="12">
        <v>16100.43</v>
      </c>
      <c r="X1572" s="12">
        <v>14315.79</v>
      </c>
      <c r="Y1572" s="12">
        <f t="shared" si="27"/>
        <v>209978.6751997527</v>
      </c>
    </row>
    <row r="1573" spans="1:25" ht="15">
      <c r="A1573">
        <v>2013</v>
      </c>
      <c r="B1573" t="s">
        <v>573</v>
      </c>
      <c r="C1573" t="s">
        <v>16</v>
      </c>
      <c r="D1573" t="s">
        <v>16</v>
      </c>
      <c r="E1573" t="s">
        <v>149</v>
      </c>
      <c r="F1573" t="s">
        <v>259</v>
      </c>
      <c r="G1573" t="s">
        <v>439</v>
      </c>
      <c r="H1573" t="s">
        <v>149</v>
      </c>
      <c r="I1573" t="s">
        <v>149</v>
      </c>
      <c r="J1573" t="s">
        <v>150</v>
      </c>
      <c r="K1573"/>
      <c r="L1573"/>
      <c r="M1573" s="12">
        <v>6668.4580615630575</v>
      </c>
      <c r="N1573" s="12">
        <v>5178.1954343438774</v>
      </c>
      <c r="O1573" s="12">
        <v>9503.2593884026646</v>
      </c>
      <c r="P1573" s="12">
        <v>14158.848772602185</v>
      </c>
      <c r="Q1573" s="12">
        <v>12104.58516771141</v>
      </c>
      <c r="R1573" s="12">
        <v>11270.11025333713</v>
      </c>
      <c r="S1573" s="12">
        <v>9594.4453444074061</v>
      </c>
      <c r="T1573" s="12">
        <v>11266.486168010406</v>
      </c>
      <c r="U1573" s="12">
        <v>10370.264936924465</v>
      </c>
      <c r="V1573" s="12">
        <v>12068.244611929809</v>
      </c>
      <c r="W1573" s="12">
        <v>11867.48</v>
      </c>
      <c r="X1573" s="12">
        <v>11867.48</v>
      </c>
      <c r="Y1573" s="12">
        <f t="shared" si="27"/>
        <v>125917.8581392324</v>
      </c>
    </row>
    <row r="1574" spans="1:25" ht="15">
      <c r="A1574">
        <v>2013</v>
      </c>
      <c r="B1574" t="s">
        <v>573</v>
      </c>
      <c r="C1574" t="s">
        <v>16</v>
      </c>
      <c r="D1574" t="s">
        <v>16</v>
      </c>
      <c r="E1574" t="s">
        <v>149</v>
      </c>
      <c r="F1574" t="s">
        <v>88</v>
      </c>
      <c r="G1574" t="s">
        <v>439</v>
      </c>
      <c r="H1574" t="s">
        <v>149</v>
      </c>
      <c r="I1574" t="s">
        <v>149</v>
      </c>
      <c r="J1574" t="s">
        <v>150</v>
      </c>
      <c r="K1574"/>
      <c r="L1574"/>
      <c r="M1574" s="12">
        <v>8104.9067659895209</v>
      </c>
      <c r="N1574" s="12">
        <v>5079.2123698065197</v>
      </c>
      <c r="O1574" s="12">
        <v>9313.7349752714781</v>
      </c>
      <c r="P1574" s="12">
        <v>10056.386046090696</v>
      </c>
      <c r="Q1574" s="12">
        <v>7909.1431459572568</v>
      </c>
      <c r="R1574" s="12">
        <v>7709.9554838051445</v>
      </c>
      <c r="S1574" s="12">
        <v>7555.3797238899097</v>
      </c>
      <c r="T1574" s="12">
        <v>7707.4762235396774</v>
      </c>
      <c r="U1574" s="12">
        <v>7094.3654695195355</v>
      </c>
      <c r="V1574" s="12">
        <v>8255.9643724957277</v>
      </c>
      <c r="W1574" s="12">
        <v>6536.24</v>
      </c>
      <c r="X1574" s="12">
        <v>6536.24</v>
      </c>
      <c r="Y1574" s="12">
        <f t="shared" si="27"/>
        <v>91859.004576365478</v>
      </c>
    </row>
    <row r="1575" spans="1:25" ht="15">
      <c r="A1575">
        <v>2013</v>
      </c>
      <c r="B1575" t="s">
        <v>573</v>
      </c>
      <c r="C1575" t="s">
        <v>16</v>
      </c>
      <c r="D1575" t="s">
        <v>16</v>
      </c>
      <c r="E1575" t="s">
        <v>149</v>
      </c>
      <c r="F1575" t="s">
        <v>229</v>
      </c>
      <c r="G1575" t="s">
        <v>439</v>
      </c>
      <c r="H1575" t="s">
        <v>149</v>
      </c>
      <c r="I1575" t="s">
        <v>149</v>
      </c>
      <c r="J1575" t="s">
        <v>150</v>
      </c>
      <c r="K1575"/>
      <c r="L1575"/>
      <c r="M1575" s="12">
        <v>925.14411861995825</v>
      </c>
      <c r="N1575" s="12">
        <v>719.35366669591542</v>
      </c>
      <c r="O1575" s="12">
        <v>1318.4284057474972</v>
      </c>
      <c r="P1575" s="12">
        <v>1423.5561842301906</v>
      </c>
      <c r="Q1575" s="12">
        <v>1217.0168175240501</v>
      </c>
      <c r="R1575" s="12">
        <v>1186.3668810886059</v>
      </c>
      <c r="S1575" s="12">
        <v>2864.7151457038904</v>
      </c>
      <c r="T1575" s="12">
        <v>1185.9853857252763</v>
      </c>
      <c r="U1575" s="12">
        <v>1091.6431687648001</v>
      </c>
      <c r="V1575" s="12">
        <v>1270.3838204448894</v>
      </c>
      <c r="W1575" s="12">
        <v>1249.25</v>
      </c>
      <c r="X1575" s="12">
        <v>1844.13</v>
      </c>
      <c r="Y1575" s="12">
        <f t="shared" si="27"/>
        <v>16295.973594545074</v>
      </c>
    </row>
    <row r="1576" spans="1:25" ht="15">
      <c r="A1576">
        <v>2013</v>
      </c>
      <c r="B1576" t="s">
        <v>573</v>
      </c>
      <c r="C1576" t="s">
        <v>16</v>
      </c>
      <c r="D1576" t="s">
        <v>16</v>
      </c>
      <c r="E1576" t="s">
        <v>149</v>
      </c>
      <c r="F1576" t="s">
        <v>230</v>
      </c>
      <c r="G1576" t="s">
        <v>439</v>
      </c>
      <c r="H1576" t="s">
        <v>149</v>
      </c>
      <c r="I1576" t="s">
        <v>149</v>
      </c>
      <c r="J1576" t="s">
        <v>150</v>
      </c>
      <c r="K1576"/>
      <c r="L1576"/>
      <c r="M1576" s="12">
        <v>1365.6882317155284</v>
      </c>
      <c r="N1576" s="12">
        <v>1061.1905291098144</v>
      </c>
      <c r="O1576" s="12">
        <v>1946.2504509834957</v>
      </c>
      <c r="P1576" s="12">
        <v>2101.4389962172677</v>
      </c>
      <c r="Q1576" s="12">
        <v>1796.5477075850526</v>
      </c>
      <c r="R1576" s="12">
        <v>1751.3025866895584</v>
      </c>
      <c r="S1576" s="12">
        <v>3956.0352012101343</v>
      </c>
      <c r="T1576" s="12">
        <v>1750.7394271583378</v>
      </c>
      <c r="U1576" s="12">
        <v>1611.4724169015253</v>
      </c>
      <c r="V1576" s="12">
        <v>1875.3275283546398</v>
      </c>
      <c r="W1576" s="12">
        <v>1844.13</v>
      </c>
      <c r="X1576" s="12">
        <v>1844.13</v>
      </c>
      <c r="Y1576" s="12">
        <f t="shared" si="27"/>
        <v>22904.253075925357</v>
      </c>
    </row>
    <row r="1577" spans="1:25" ht="15">
      <c r="A1577">
        <v>2013</v>
      </c>
      <c r="B1577" t="s">
        <v>573</v>
      </c>
      <c r="C1577" t="s">
        <v>16</v>
      </c>
      <c r="D1577" t="s">
        <v>16</v>
      </c>
      <c r="E1577" t="s">
        <v>149</v>
      </c>
      <c r="F1577" t="s">
        <v>17</v>
      </c>
      <c r="G1577" t="s">
        <v>439</v>
      </c>
      <c r="H1577" t="s">
        <v>149</v>
      </c>
      <c r="I1577" t="s">
        <v>149</v>
      </c>
      <c r="J1577" t="s">
        <v>150</v>
      </c>
      <c r="K1577"/>
      <c r="L1577"/>
      <c r="M1577" s="12">
        <v>3582.9978219176633</v>
      </c>
      <c r="N1577" s="12">
        <v>2801.4509195805731</v>
      </c>
      <c r="O1577" s="12">
        <v>5137.5490178992995</v>
      </c>
      <c r="P1577" s="12">
        <v>5547.202748616276</v>
      </c>
      <c r="Q1577" s="12">
        <v>4742.3762476451675</v>
      </c>
      <c r="R1577" s="12">
        <v>4622.9419650203808</v>
      </c>
      <c r="S1577" s="12">
        <v>4226.6622970692461</v>
      </c>
      <c r="T1577" s="12">
        <v>4621.4553836325231</v>
      </c>
      <c r="U1577" s="12">
        <v>4253.8299881398198</v>
      </c>
      <c r="V1577" s="12">
        <v>9900.6855858915605</v>
      </c>
      <c r="W1577" s="12">
        <v>4867.9799999999996</v>
      </c>
      <c r="X1577" s="12">
        <v>4867.9799999999996</v>
      </c>
      <c r="Y1577" s="12">
        <f t="shared" si="27"/>
        <v>59173.111975412496</v>
      </c>
    </row>
    <row r="1578" spans="1:25" ht="15">
      <c r="A1578">
        <v>2013</v>
      </c>
      <c r="B1578" t="s">
        <v>573</v>
      </c>
      <c r="C1578" t="s">
        <v>16</v>
      </c>
      <c r="D1578" t="s">
        <v>16</v>
      </c>
      <c r="E1578" t="s">
        <v>149</v>
      </c>
      <c r="F1578" t="s">
        <v>147</v>
      </c>
      <c r="G1578" t="s">
        <v>439</v>
      </c>
      <c r="H1578" t="s">
        <v>149</v>
      </c>
      <c r="I1578" t="s">
        <v>149</v>
      </c>
      <c r="J1578" t="s">
        <v>150</v>
      </c>
      <c r="K1578"/>
      <c r="L1578"/>
      <c r="M1578" s="12">
        <v>48667.460927375949</v>
      </c>
      <c r="N1578" s="12">
        <v>36413.107125213879</v>
      </c>
      <c r="O1578" s="12">
        <v>63255.03405679416</v>
      </c>
      <c r="P1578" s="12">
        <v>67630.251363503325</v>
      </c>
      <c r="Q1578" s="12">
        <v>61666.429677053391</v>
      </c>
      <c r="R1578" s="12">
        <v>68713.486565780404</v>
      </c>
      <c r="S1578" s="12">
        <v>60981.607464542176</v>
      </c>
      <c r="T1578" s="12">
        <v>57894.703732270063</v>
      </c>
      <c r="U1578" s="12">
        <v>61130.295988317317</v>
      </c>
      <c r="V1578" s="12">
        <v>76900.448623923177</v>
      </c>
      <c r="W1578" s="12">
        <v>81402.259999999995</v>
      </c>
      <c r="X1578" s="12">
        <v>81459.520000000004</v>
      </c>
      <c r="Y1578" s="12">
        <f t="shared" si="27"/>
        <v>766114.60552477394</v>
      </c>
    </row>
    <row r="1579" spans="1:25" ht="15">
      <c r="A1579">
        <v>2013</v>
      </c>
      <c r="B1579" t="s">
        <v>573</v>
      </c>
      <c r="C1579" t="s">
        <v>16</v>
      </c>
      <c r="D1579" t="s">
        <v>16</v>
      </c>
      <c r="E1579" t="s">
        <v>149</v>
      </c>
      <c r="F1579" t="s">
        <v>233</v>
      </c>
      <c r="G1579" t="s">
        <v>439</v>
      </c>
      <c r="H1579" t="s">
        <v>149</v>
      </c>
      <c r="I1579" t="s">
        <v>149</v>
      </c>
      <c r="J1579" t="s">
        <v>150</v>
      </c>
      <c r="K1579"/>
      <c r="L1579"/>
      <c r="M1579" s="12">
        <v>21967.731310839041</v>
      </c>
      <c r="N1579" s="12">
        <v>26982.092813363754</v>
      </c>
      <c r="O1579" s="12">
        <v>101085.23828079768</v>
      </c>
      <c r="P1579" s="12">
        <v>129186.66680605338</v>
      </c>
      <c r="Q1579" s="12">
        <v>126902.41814625396</v>
      </c>
      <c r="R1579" s="12">
        <v>123706.44665787312</v>
      </c>
      <c r="S1579" s="12">
        <v>103173.26439772242</v>
      </c>
      <c r="T1579" s="12">
        <v>59452.714007412316</v>
      </c>
      <c r="U1579" s="12">
        <v>34153.43173867857</v>
      </c>
      <c r="V1579" s="12">
        <v>38731.518865087361</v>
      </c>
      <c r="W1579" s="12">
        <v>27777.18</v>
      </c>
      <c r="X1579" s="12">
        <v>27777.18</v>
      </c>
      <c r="Y1579" s="12">
        <f t="shared" si="27"/>
        <v>820895.88302408182</v>
      </c>
    </row>
    <row r="1580" spans="1:25" ht="15">
      <c r="A1580">
        <v>2013</v>
      </c>
      <c r="B1580" t="s">
        <v>573</v>
      </c>
      <c r="C1580" t="s">
        <v>16</v>
      </c>
      <c r="D1580" t="s">
        <v>16</v>
      </c>
      <c r="E1580" t="s">
        <v>18</v>
      </c>
      <c r="F1580" t="s">
        <v>227</v>
      </c>
      <c r="G1580" t="s">
        <v>439</v>
      </c>
      <c r="H1580" t="s">
        <v>18</v>
      </c>
      <c r="I1580" t="s">
        <v>18</v>
      </c>
      <c r="J1580" t="s">
        <v>34</v>
      </c>
      <c r="K1580"/>
      <c r="L1580"/>
      <c r="M1580" s="12">
        <v>200</v>
      </c>
      <c r="N1580" s="12">
        <v>200</v>
      </c>
      <c r="O1580" s="12">
        <v>200</v>
      </c>
      <c r="P1580" s="12">
        <v>200</v>
      </c>
      <c r="Q1580" s="12">
        <v>200</v>
      </c>
      <c r="R1580" s="12">
        <v>200</v>
      </c>
      <c r="S1580" s="12">
        <v>200</v>
      </c>
      <c r="T1580" s="12">
        <v>200</v>
      </c>
      <c r="U1580" s="12">
        <v>200</v>
      </c>
      <c r="V1580" s="12">
        <v>200</v>
      </c>
      <c r="W1580" s="12">
        <v>200</v>
      </c>
      <c r="X1580" s="12">
        <v>200</v>
      </c>
      <c r="Y1580" s="12">
        <f t="shared" si="27"/>
        <v>2400</v>
      </c>
    </row>
    <row r="1581" spans="1:25" ht="15">
      <c r="A1581">
        <v>2013</v>
      </c>
      <c r="B1581" t="s">
        <v>573</v>
      </c>
      <c r="C1581" t="s">
        <v>16</v>
      </c>
      <c r="D1581" t="s">
        <v>16</v>
      </c>
      <c r="E1581" t="s">
        <v>18</v>
      </c>
      <c r="F1581" t="s">
        <v>227</v>
      </c>
      <c r="G1581" t="s">
        <v>439</v>
      </c>
      <c r="H1581" t="s">
        <v>18</v>
      </c>
      <c r="I1581" t="s">
        <v>18</v>
      </c>
      <c r="J1581" t="s">
        <v>43</v>
      </c>
      <c r="K1581"/>
      <c r="L1581"/>
      <c r="M1581" s="12">
        <v>1762.62</v>
      </c>
      <c r="N1581" s="12">
        <v>1790.46</v>
      </c>
      <c r="O1581" s="12">
        <v>1796.24</v>
      </c>
      <c r="P1581" s="12">
        <v>1770.79</v>
      </c>
      <c r="Q1581" s="12">
        <v>1768.08</v>
      </c>
      <c r="R1581" s="12">
        <v>1777.01</v>
      </c>
      <c r="S1581" s="12">
        <v>1774.49</v>
      </c>
      <c r="T1581" s="12">
        <v>1995.08</v>
      </c>
      <c r="U1581" s="12">
        <v>1768.14</v>
      </c>
      <c r="V1581" s="12">
        <v>1579.65</v>
      </c>
      <c r="W1581" s="12">
        <v>1800</v>
      </c>
      <c r="X1581" s="12">
        <v>1800</v>
      </c>
      <c r="Y1581" s="12">
        <f t="shared" si="27"/>
        <v>21382.559999999998</v>
      </c>
    </row>
    <row r="1582" spans="1:25" ht="15">
      <c r="A1582">
        <v>2013</v>
      </c>
      <c r="B1582" t="s">
        <v>573</v>
      </c>
      <c r="C1582" t="s">
        <v>16</v>
      </c>
      <c r="D1582" t="s">
        <v>16</v>
      </c>
      <c r="E1582" t="s">
        <v>18</v>
      </c>
      <c r="F1582" t="s">
        <v>227</v>
      </c>
      <c r="G1582" t="s">
        <v>439</v>
      </c>
      <c r="H1582" t="s">
        <v>18</v>
      </c>
      <c r="I1582" t="s">
        <v>18</v>
      </c>
      <c r="J1582" t="s">
        <v>295</v>
      </c>
      <c r="K1582"/>
      <c r="L158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>
        <v>350</v>
      </c>
      <c r="W1582" s="12"/>
      <c r="X1582" s="12"/>
      <c r="Y1582" s="12">
        <f t="shared" si="27"/>
        <v>350</v>
      </c>
    </row>
    <row r="1583" spans="1:25" ht="15">
      <c r="A1583">
        <v>2013</v>
      </c>
      <c r="B1583" t="s">
        <v>573</v>
      </c>
      <c r="C1583" t="s">
        <v>16</v>
      </c>
      <c r="D1583" t="s">
        <v>16</v>
      </c>
      <c r="E1583" t="s">
        <v>18</v>
      </c>
      <c r="F1583" t="s">
        <v>227</v>
      </c>
      <c r="G1583" t="s">
        <v>439</v>
      </c>
      <c r="H1583" t="s">
        <v>18</v>
      </c>
      <c r="I1583" t="s">
        <v>18</v>
      </c>
      <c r="J1583" t="s">
        <v>19</v>
      </c>
      <c r="K1583"/>
      <c r="L1583"/>
      <c r="M1583" s="12">
        <v>519.28</v>
      </c>
      <c r="N1583" s="12">
        <v>477.76</v>
      </c>
      <c r="O1583" s="12">
        <v>579</v>
      </c>
      <c r="P1583" s="12">
        <v>694.22</v>
      </c>
      <c r="Q1583" s="12">
        <v>702.46</v>
      </c>
      <c r="R1583" s="12">
        <v>499.36</v>
      </c>
      <c r="S1583" s="12">
        <v>576.64</v>
      </c>
      <c r="T1583" s="12">
        <v>596.36</v>
      </c>
      <c r="U1583" s="12">
        <v>627.88</v>
      </c>
      <c r="V1583" s="12">
        <v>961.12</v>
      </c>
      <c r="W1583" s="12">
        <v>650</v>
      </c>
      <c r="X1583" s="12">
        <v>650</v>
      </c>
      <c r="Y1583" s="12">
        <f t="shared" si="27"/>
        <v>7534.08</v>
      </c>
    </row>
    <row r="1584" spans="1:25" ht="15">
      <c r="A1584">
        <v>2013</v>
      </c>
      <c r="B1584" t="s">
        <v>573</v>
      </c>
      <c r="C1584" t="s">
        <v>16</v>
      </c>
      <c r="D1584" t="s">
        <v>16</v>
      </c>
      <c r="E1584" t="s">
        <v>18</v>
      </c>
      <c r="F1584" t="s">
        <v>228</v>
      </c>
      <c r="G1584" t="s">
        <v>439</v>
      </c>
      <c r="H1584" t="s">
        <v>18</v>
      </c>
      <c r="I1584" t="s">
        <v>18</v>
      </c>
      <c r="J1584" t="s">
        <v>43</v>
      </c>
      <c r="K1584"/>
      <c r="L1584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>
        <v>200</v>
      </c>
      <c r="X1584" s="12">
        <v>200</v>
      </c>
      <c r="Y1584" s="12">
        <f t="shared" si="27"/>
        <v>400</v>
      </c>
    </row>
    <row r="1585" spans="1:25" ht="15">
      <c r="A1585">
        <v>2013</v>
      </c>
      <c r="B1585" t="s">
        <v>573</v>
      </c>
      <c r="C1585" t="s">
        <v>16</v>
      </c>
      <c r="D1585" t="s">
        <v>16</v>
      </c>
      <c r="E1585" t="s">
        <v>18</v>
      </c>
      <c r="F1585" t="s">
        <v>228</v>
      </c>
      <c r="G1585" t="s">
        <v>439</v>
      </c>
      <c r="H1585" t="s">
        <v>18</v>
      </c>
      <c r="I1585" t="s">
        <v>18</v>
      </c>
      <c r="J1585" t="s">
        <v>91</v>
      </c>
      <c r="K1585"/>
      <c r="L1585"/>
      <c r="M1585" s="12"/>
      <c r="N1585" s="12"/>
      <c r="O1585" s="12"/>
      <c r="P1585" s="12"/>
      <c r="Q1585" s="12">
        <v>540</v>
      </c>
      <c r="R1585" s="12">
        <v>330</v>
      </c>
      <c r="S1585" s="12"/>
      <c r="T1585" s="12"/>
      <c r="U1585" s="12"/>
      <c r="V1585" s="12"/>
      <c r="W1585" s="12"/>
      <c r="X1585" s="12"/>
      <c r="Y1585" s="12">
        <f t="shared" si="27"/>
        <v>870</v>
      </c>
    </row>
    <row r="1586" spans="1:25" ht="15">
      <c r="A1586">
        <v>2013</v>
      </c>
      <c r="B1586" t="s">
        <v>573</v>
      </c>
      <c r="C1586" t="s">
        <v>16</v>
      </c>
      <c r="D1586" t="s">
        <v>16</v>
      </c>
      <c r="E1586" t="s">
        <v>18</v>
      </c>
      <c r="F1586" t="s">
        <v>231</v>
      </c>
      <c r="G1586" t="s">
        <v>439</v>
      </c>
      <c r="H1586" t="s">
        <v>18</v>
      </c>
      <c r="I1586" t="s">
        <v>18</v>
      </c>
      <c r="J1586" t="s">
        <v>96</v>
      </c>
      <c r="K1586"/>
      <c r="L1586"/>
      <c r="M1586" s="12"/>
      <c r="N1586" s="12"/>
      <c r="O1586" s="12"/>
      <c r="P1586" s="12">
        <v>300</v>
      </c>
      <c r="Q1586" s="12"/>
      <c r="R1586" s="12"/>
      <c r="S1586" s="12"/>
      <c r="T1586" s="12"/>
      <c r="U1586" s="12"/>
      <c r="V1586" s="12"/>
      <c r="W1586" s="12"/>
      <c r="X1586" s="12"/>
      <c r="Y1586" s="12">
        <f t="shared" si="27"/>
        <v>300</v>
      </c>
    </row>
    <row r="1587" spans="1:25" ht="15">
      <c r="A1587">
        <v>2013</v>
      </c>
      <c r="B1587" t="s">
        <v>573</v>
      </c>
      <c r="C1587" t="s">
        <v>16</v>
      </c>
      <c r="D1587" t="s">
        <v>16</v>
      </c>
      <c r="E1587" t="s">
        <v>18</v>
      </c>
      <c r="F1587" t="s">
        <v>232</v>
      </c>
      <c r="G1587" t="s">
        <v>439</v>
      </c>
      <c r="H1587" t="s">
        <v>18</v>
      </c>
      <c r="I1587" t="s">
        <v>18</v>
      </c>
      <c r="J1587" t="s">
        <v>429</v>
      </c>
      <c r="K1587"/>
      <c r="L1587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>
        <v>412.4</v>
      </c>
      <c r="Y1587" s="12">
        <f t="shared" si="27"/>
        <v>412.4</v>
      </c>
    </row>
    <row r="1588" spans="1:25" ht="15">
      <c r="A1588">
        <v>2013</v>
      </c>
      <c r="B1588" t="s">
        <v>573</v>
      </c>
      <c r="C1588" t="s">
        <v>16</v>
      </c>
      <c r="D1588" t="s">
        <v>16</v>
      </c>
      <c r="E1588" t="s">
        <v>18</v>
      </c>
      <c r="F1588" t="s">
        <v>232</v>
      </c>
      <c r="G1588" t="s">
        <v>439</v>
      </c>
      <c r="H1588" t="s">
        <v>18</v>
      </c>
      <c r="I1588" t="s">
        <v>18</v>
      </c>
      <c r="J1588" t="s">
        <v>91</v>
      </c>
      <c r="K1588"/>
      <c r="L1588"/>
      <c r="M1588" s="12"/>
      <c r="N1588" s="12"/>
      <c r="O1588" s="12"/>
      <c r="P1588" s="12"/>
      <c r="Q1588" s="12"/>
      <c r="R1588" s="12">
        <v>3879.22</v>
      </c>
      <c r="S1588" s="12"/>
      <c r="T1588" s="12"/>
      <c r="U1588" s="12">
        <v>2045.52</v>
      </c>
      <c r="V1588" s="12">
        <v>1518.84</v>
      </c>
      <c r="W1588" s="12"/>
      <c r="X1588" s="12"/>
      <c r="Y1588" s="12">
        <f t="shared" si="27"/>
        <v>7443.58</v>
      </c>
    </row>
    <row r="1589" spans="1:25" ht="15">
      <c r="A1589">
        <v>2013</v>
      </c>
      <c r="B1589" t="s">
        <v>573</v>
      </c>
      <c r="C1589" t="s">
        <v>16</v>
      </c>
      <c r="D1589" t="s">
        <v>16</v>
      </c>
      <c r="E1589" t="s">
        <v>18</v>
      </c>
      <c r="F1589" t="s">
        <v>165</v>
      </c>
      <c r="G1589" t="s">
        <v>439</v>
      </c>
      <c r="H1589" t="s">
        <v>18</v>
      </c>
      <c r="I1589" t="s">
        <v>18</v>
      </c>
      <c r="J1589" t="s">
        <v>91</v>
      </c>
      <c r="K1589"/>
      <c r="L1589"/>
      <c r="M1589" s="12"/>
      <c r="N1589" s="12"/>
      <c r="O1589" s="12"/>
      <c r="P1589" s="12"/>
      <c r="Q1589" s="12">
        <v>47.92</v>
      </c>
      <c r="R1589" s="12"/>
      <c r="S1589" s="12"/>
      <c r="T1589" s="12"/>
      <c r="U1589" s="12"/>
      <c r="V1589" s="12">
        <v>53.87</v>
      </c>
      <c r="W1589" s="12"/>
      <c r="X1589" s="12"/>
      <c r="Y1589" s="12">
        <f t="shared" si="27"/>
        <v>101.78999999999999</v>
      </c>
    </row>
    <row r="1590" spans="1:25" ht="15">
      <c r="A1590">
        <v>2013</v>
      </c>
      <c r="B1590" t="s">
        <v>573</v>
      </c>
      <c r="C1590" t="s">
        <v>16</v>
      </c>
      <c r="D1590" t="s">
        <v>16</v>
      </c>
      <c r="E1590" t="s">
        <v>18</v>
      </c>
      <c r="F1590" t="s">
        <v>165</v>
      </c>
      <c r="G1590" t="s">
        <v>439</v>
      </c>
      <c r="H1590" t="s">
        <v>18</v>
      </c>
      <c r="I1590" t="s">
        <v>18</v>
      </c>
      <c r="J1590" t="s">
        <v>44</v>
      </c>
      <c r="K1590"/>
      <c r="L1590"/>
      <c r="M1590" s="12"/>
      <c r="N1590" s="12"/>
      <c r="O1590" s="12"/>
      <c r="P1590" s="12">
        <v>166.9</v>
      </c>
      <c r="Q1590" s="12"/>
      <c r="R1590" s="12"/>
      <c r="S1590" s="12"/>
      <c r="T1590" s="12"/>
      <c r="U1590" s="12"/>
      <c r="V1590" s="12"/>
      <c r="W1590" s="12"/>
      <c r="X1590" s="12"/>
      <c r="Y1590" s="12">
        <f t="shared" si="27"/>
        <v>166.9</v>
      </c>
    </row>
    <row r="1591" spans="1:25" ht="15">
      <c r="A1591">
        <v>2013</v>
      </c>
      <c r="B1591" t="s">
        <v>573</v>
      </c>
      <c r="C1591" t="s">
        <v>16</v>
      </c>
      <c r="D1591" t="s">
        <v>16</v>
      </c>
      <c r="E1591" t="s">
        <v>18</v>
      </c>
      <c r="F1591" t="s">
        <v>156</v>
      </c>
      <c r="G1591" t="s">
        <v>439</v>
      </c>
      <c r="H1591" t="s">
        <v>18</v>
      </c>
      <c r="I1591" t="s">
        <v>18</v>
      </c>
      <c r="J1591" t="s">
        <v>91</v>
      </c>
      <c r="K1591"/>
      <c r="L1591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>
        <v>268.02</v>
      </c>
      <c r="W1591" s="12">
        <v>1000</v>
      </c>
      <c r="X1591" s="12">
        <v>200</v>
      </c>
      <c r="Y1591" s="12">
        <f t="shared" si="27"/>
        <v>1468.02</v>
      </c>
    </row>
    <row r="1592" spans="1:25" ht="15">
      <c r="A1592">
        <v>2013</v>
      </c>
      <c r="B1592" t="s">
        <v>573</v>
      </c>
      <c r="C1592" t="s">
        <v>16</v>
      </c>
      <c r="D1592" t="s">
        <v>16</v>
      </c>
      <c r="E1592" t="s">
        <v>18</v>
      </c>
      <c r="F1592" t="s">
        <v>156</v>
      </c>
      <c r="G1592" t="s">
        <v>439</v>
      </c>
      <c r="H1592" t="s">
        <v>18</v>
      </c>
      <c r="I1592" t="s">
        <v>18</v>
      </c>
      <c r="J1592" t="s">
        <v>44</v>
      </c>
      <c r="K1592"/>
      <c r="L1592"/>
      <c r="M1592" s="12">
        <v>1650</v>
      </c>
      <c r="N1592" s="12">
        <v>580</v>
      </c>
      <c r="O1592" s="12">
        <v>390</v>
      </c>
      <c r="P1592" s="12">
        <v>380</v>
      </c>
      <c r="Q1592" s="12">
        <v>470</v>
      </c>
      <c r="R1592" s="12">
        <v>390</v>
      </c>
      <c r="S1592" s="12">
        <v>380</v>
      </c>
      <c r="T1592" s="12"/>
      <c r="U1592" s="12"/>
      <c r="V1592" s="12"/>
      <c r="W1592" s="12"/>
      <c r="X1592" s="12"/>
      <c r="Y1592" s="12">
        <f t="shared" si="27"/>
        <v>4240</v>
      </c>
    </row>
    <row r="1593" spans="1:25" ht="15">
      <c r="A1593">
        <v>2013</v>
      </c>
      <c r="B1593" t="s">
        <v>573</v>
      </c>
      <c r="C1593" t="s">
        <v>16</v>
      </c>
      <c r="D1593" t="s">
        <v>16</v>
      </c>
      <c r="E1593" t="s">
        <v>18</v>
      </c>
      <c r="F1593" t="s">
        <v>204</v>
      </c>
      <c r="G1593" t="s">
        <v>439</v>
      </c>
      <c r="H1593" t="s">
        <v>18</v>
      </c>
      <c r="I1593" t="s">
        <v>18</v>
      </c>
      <c r="J1593" t="s">
        <v>91</v>
      </c>
      <c r="K1593"/>
      <c r="L1593"/>
      <c r="M1593" s="12"/>
      <c r="N1593" s="12"/>
      <c r="O1593" s="12"/>
      <c r="P1593" s="12">
        <v>1243</v>
      </c>
      <c r="Q1593" s="12"/>
      <c r="R1593" s="12"/>
      <c r="S1593" s="12"/>
      <c r="T1593" s="12"/>
      <c r="U1593" s="12"/>
      <c r="V1593" s="12"/>
      <c r="W1593" s="12">
        <v>200</v>
      </c>
      <c r="X1593" s="12">
        <v>100</v>
      </c>
      <c r="Y1593" s="12">
        <f t="shared" si="27"/>
        <v>1543</v>
      </c>
    </row>
    <row r="1594" spans="1:25" ht="15">
      <c r="A1594">
        <v>2013</v>
      </c>
      <c r="B1594" t="s">
        <v>573</v>
      </c>
      <c r="C1594" t="s">
        <v>16</v>
      </c>
      <c r="D1594" t="s">
        <v>16</v>
      </c>
      <c r="E1594" t="s">
        <v>18</v>
      </c>
      <c r="F1594" t="s">
        <v>259</v>
      </c>
      <c r="G1594" t="s">
        <v>439</v>
      </c>
      <c r="H1594" t="s">
        <v>18</v>
      </c>
      <c r="I1594" t="s">
        <v>18</v>
      </c>
      <c r="J1594" t="s">
        <v>96</v>
      </c>
      <c r="K1594"/>
      <c r="L1594"/>
      <c r="M1594" s="12"/>
      <c r="N1594" s="12"/>
      <c r="O1594" s="12">
        <v>1400</v>
      </c>
      <c r="P1594" s="12"/>
      <c r="Q1594" s="12"/>
      <c r="R1594" s="12">
        <v>1500</v>
      </c>
      <c r="S1594" s="12">
        <v>696</v>
      </c>
      <c r="T1594" s="12"/>
      <c r="U1594" s="12"/>
      <c r="V1594" s="12"/>
      <c r="W1594" s="12"/>
      <c r="X1594" s="12"/>
      <c r="Y1594" s="12">
        <f t="shared" si="27"/>
        <v>3596</v>
      </c>
    </row>
    <row r="1595" spans="1:25" ht="15">
      <c r="A1595">
        <v>2013</v>
      </c>
      <c r="B1595" t="s">
        <v>573</v>
      </c>
      <c r="C1595" t="s">
        <v>16</v>
      </c>
      <c r="D1595" t="s">
        <v>16</v>
      </c>
      <c r="E1595" t="s">
        <v>18</v>
      </c>
      <c r="F1595" t="s">
        <v>259</v>
      </c>
      <c r="G1595" t="s">
        <v>439</v>
      </c>
      <c r="H1595" t="s">
        <v>18</v>
      </c>
      <c r="I1595" t="s">
        <v>18</v>
      </c>
      <c r="J1595" t="s">
        <v>91</v>
      </c>
      <c r="K1595"/>
      <c r="L1595"/>
      <c r="M1595" s="12"/>
      <c r="N1595" s="12"/>
      <c r="O1595" s="12"/>
      <c r="P1595" s="12"/>
      <c r="Q1595" s="12"/>
      <c r="R1595" s="12"/>
      <c r="S1595" s="12"/>
      <c r="T1595" s="12">
        <v>3075.65</v>
      </c>
      <c r="U1595" s="12"/>
      <c r="V1595" s="12"/>
      <c r="W1595" s="12"/>
      <c r="X1595" s="12"/>
      <c r="Y1595" s="12">
        <f t="shared" si="27"/>
        <v>3075.65</v>
      </c>
    </row>
    <row r="1596" spans="1:25" ht="15">
      <c r="A1596">
        <v>2013</v>
      </c>
      <c r="B1596" t="s">
        <v>573</v>
      </c>
      <c r="C1596" t="s">
        <v>16</v>
      </c>
      <c r="D1596" t="s">
        <v>16</v>
      </c>
      <c r="E1596" t="s">
        <v>18</v>
      </c>
      <c r="F1596" t="s">
        <v>88</v>
      </c>
      <c r="G1596" t="s">
        <v>439</v>
      </c>
      <c r="H1596" t="s">
        <v>18</v>
      </c>
      <c r="I1596" t="s">
        <v>18</v>
      </c>
      <c r="J1596" t="s">
        <v>91</v>
      </c>
      <c r="K1596"/>
      <c r="L1596"/>
      <c r="M1596" s="12"/>
      <c r="N1596" s="12"/>
      <c r="O1596" s="12">
        <v>167</v>
      </c>
      <c r="P1596" s="12"/>
      <c r="Q1596" s="12"/>
      <c r="R1596" s="12"/>
      <c r="S1596" s="12">
        <v>256.42</v>
      </c>
      <c r="T1596" s="12">
        <v>296.04000000000002</v>
      </c>
      <c r="U1596" s="12">
        <v>659.7</v>
      </c>
      <c r="V1596" s="12"/>
      <c r="W1596" s="12">
        <v>70</v>
      </c>
      <c r="X1596" s="12">
        <v>100</v>
      </c>
      <c r="Y1596" s="12">
        <f t="shared" si="27"/>
        <v>1549.16</v>
      </c>
    </row>
    <row r="1597" spans="1:25" ht="15">
      <c r="A1597">
        <v>2013</v>
      </c>
      <c r="B1597" t="s">
        <v>573</v>
      </c>
      <c r="C1597" t="s">
        <v>16</v>
      </c>
      <c r="D1597" t="s">
        <v>16</v>
      </c>
      <c r="E1597" t="s">
        <v>18</v>
      </c>
      <c r="F1597" t="s">
        <v>229</v>
      </c>
      <c r="G1597" t="s">
        <v>439</v>
      </c>
      <c r="H1597" t="s">
        <v>18</v>
      </c>
      <c r="I1597" t="s">
        <v>18</v>
      </c>
      <c r="J1597" t="s">
        <v>429</v>
      </c>
      <c r="K1597"/>
      <c r="L1597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>
        <v>1057.0999999999999</v>
      </c>
      <c r="Y1597" s="12">
        <f t="shared" si="27"/>
        <v>1057.0999999999999</v>
      </c>
    </row>
    <row r="1598" spans="1:25" ht="15">
      <c r="A1598">
        <v>2013</v>
      </c>
      <c r="B1598" t="s">
        <v>573</v>
      </c>
      <c r="C1598" t="s">
        <v>16</v>
      </c>
      <c r="D1598" t="s">
        <v>16</v>
      </c>
      <c r="E1598" t="s">
        <v>18</v>
      </c>
      <c r="F1598" t="s">
        <v>229</v>
      </c>
      <c r="G1598" t="s">
        <v>439</v>
      </c>
      <c r="H1598" t="s">
        <v>18</v>
      </c>
      <c r="I1598" t="s">
        <v>18</v>
      </c>
      <c r="J1598" t="s">
        <v>91</v>
      </c>
      <c r="K1598"/>
      <c r="L1598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>
        <v>750</v>
      </c>
      <c r="Y1598" s="12">
        <f t="shared" si="27"/>
        <v>750</v>
      </c>
    </row>
    <row r="1599" spans="1:25" ht="15">
      <c r="A1599">
        <v>2013</v>
      </c>
      <c r="B1599" t="s">
        <v>573</v>
      </c>
      <c r="C1599" t="s">
        <v>16</v>
      </c>
      <c r="D1599" t="s">
        <v>16</v>
      </c>
      <c r="E1599" t="s">
        <v>18</v>
      </c>
      <c r="F1599" t="s">
        <v>230</v>
      </c>
      <c r="G1599" t="s">
        <v>439</v>
      </c>
      <c r="H1599" t="s">
        <v>18</v>
      </c>
      <c r="I1599" t="s">
        <v>18</v>
      </c>
      <c r="J1599" t="s">
        <v>96</v>
      </c>
      <c r="K1599"/>
      <c r="L1599"/>
      <c r="M1599" s="12">
        <v>288</v>
      </c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>
        <f t="shared" si="27"/>
        <v>288</v>
      </c>
    </row>
    <row r="1600" spans="1:25" ht="15">
      <c r="A1600">
        <v>2013</v>
      </c>
      <c r="B1600" t="s">
        <v>573</v>
      </c>
      <c r="C1600" t="s">
        <v>16</v>
      </c>
      <c r="D1600" t="s">
        <v>16</v>
      </c>
      <c r="E1600" t="s">
        <v>18</v>
      </c>
      <c r="F1600" t="s">
        <v>230</v>
      </c>
      <c r="G1600" t="s">
        <v>439</v>
      </c>
      <c r="H1600" t="s">
        <v>18</v>
      </c>
      <c r="I1600" t="s">
        <v>18</v>
      </c>
      <c r="J1600" t="s">
        <v>429</v>
      </c>
      <c r="K1600"/>
      <c r="L1600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>
        <v>950.13</v>
      </c>
      <c r="Y1600" s="12">
        <f t="shared" si="27"/>
        <v>950.13</v>
      </c>
    </row>
    <row r="1601" spans="1:25" ht="15">
      <c r="A1601">
        <v>2013</v>
      </c>
      <c r="B1601" t="s">
        <v>573</v>
      </c>
      <c r="C1601" t="s">
        <v>16</v>
      </c>
      <c r="D1601" t="s">
        <v>16</v>
      </c>
      <c r="E1601" t="s">
        <v>18</v>
      </c>
      <c r="F1601" t="s">
        <v>230</v>
      </c>
      <c r="G1601" t="s">
        <v>439</v>
      </c>
      <c r="H1601" t="s">
        <v>18</v>
      </c>
      <c r="I1601" t="s">
        <v>18</v>
      </c>
      <c r="J1601" t="s">
        <v>91</v>
      </c>
      <c r="K1601"/>
      <c r="L1601"/>
      <c r="M1601" s="12"/>
      <c r="N1601" s="12"/>
      <c r="O1601" s="12">
        <v>390</v>
      </c>
      <c r="P1601" s="12"/>
      <c r="Q1601" s="12"/>
      <c r="R1601" s="12"/>
      <c r="S1601" s="12"/>
      <c r="T1601" s="12"/>
      <c r="U1601" s="12"/>
      <c r="V1601" s="12"/>
      <c r="W1601" s="12"/>
      <c r="X1601" s="12"/>
      <c r="Y1601" s="12">
        <f t="shared" si="27"/>
        <v>390</v>
      </c>
    </row>
    <row r="1602" spans="1:25" ht="15">
      <c r="A1602">
        <v>2013</v>
      </c>
      <c r="B1602" t="s">
        <v>573</v>
      </c>
      <c r="C1602" t="s">
        <v>16</v>
      </c>
      <c r="D1602" t="s">
        <v>16</v>
      </c>
      <c r="E1602" t="s">
        <v>18</v>
      </c>
      <c r="F1602" t="s">
        <v>17</v>
      </c>
      <c r="G1602" t="s">
        <v>439</v>
      </c>
      <c r="H1602" t="s">
        <v>18</v>
      </c>
      <c r="I1602" t="s">
        <v>18</v>
      </c>
      <c r="J1602" t="s">
        <v>19</v>
      </c>
      <c r="K1602"/>
      <c r="L1602"/>
      <c r="M1602" s="12">
        <v>11041.07</v>
      </c>
      <c r="N1602" s="12">
        <v>8739.9500000000007</v>
      </c>
      <c r="O1602" s="12">
        <v>12276.05</v>
      </c>
      <c r="P1602" s="12">
        <v>9861.23</v>
      </c>
      <c r="Q1602" s="12"/>
      <c r="R1602" s="12">
        <v>13111.66</v>
      </c>
      <c r="S1602" s="12">
        <v>14288.97</v>
      </c>
      <c r="T1602" s="12">
        <v>9691.16</v>
      </c>
      <c r="U1602" s="12">
        <v>17438.86</v>
      </c>
      <c r="V1602" s="12">
        <v>16734.12</v>
      </c>
      <c r="W1602" s="12">
        <v>8000</v>
      </c>
      <c r="X1602" s="12">
        <v>8000</v>
      </c>
      <c r="Y1602" s="12">
        <f t="shared" si="27"/>
        <v>129183.07</v>
      </c>
    </row>
    <row r="1603" spans="1:25" ht="15">
      <c r="A1603">
        <v>2013</v>
      </c>
      <c r="B1603" t="s">
        <v>573</v>
      </c>
      <c r="C1603" t="s">
        <v>16</v>
      </c>
      <c r="D1603" t="s">
        <v>16</v>
      </c>
      <c r="E1603" t="s">
        <v>18</v>
      </c>
      <c r="F1603" t="s">
        <v>17</v>
      </c>
      <c r="G1603" t="s">
        <v>439</v>
      </c>
      <c r="H1603" t="s">
        <v>18</v>
      </c>
      <c r="I1603" t="s">
        <v>18</v>
      </c>
      <c r="J1603" t="s">
        <v>91</v>
      </c>
      <c r="K1603"/>
      <c r="L1603"/>
      <c r="M1603" s="12">
        <v>117.89</v>
      </c>
      <c r="N1603" s="12">
        <v>113.11</v>
      </c>
      <c r="O1603" s="12">
        <v>130.77000000000001</v>
      </c>
      <c r="P1603" s="12">
        <v>122.77</v>
      </c>
      <c r="Q1603" s="12">
        <v>651.07000000000005</v>
      </c>
      <c r="R1603" s="12">
        <v>104.74</v>
      </c>
      <c r="S1603" s="12">
        <v>108.12</v>
      </c>
      <c r="T1603" s="12">
        <v>649.47</v>
      </c>
      <c r="U1603" s="12">
        <v>106.11</v>
      </c>
      <c r="V1603" s="12"/>
      <c r="W1603" s="12"/>
      <c r="X1603" s="12"/>
      <c r="Y1603" s="12">
        <f t="shared" si="27"/>
        <v>2104.0500000000002</v>
      </c>
    </row>
    <row r="1604" spans="1:25" ht="15">
      <c r="A1604">
        <v>2013</v>
      </c>
      <c r="B1604" t="s">
        <v>573</v>
      </c>
      <c r="C1604" t="s">
        <v>16</v>
      </c>
      <c r="D1604" t="s">
        <v>16</v>
      </c>
      <c r="E1604" t="s">
        <v>18</v>
      </c>
      <c r="F1604" t="s">
        <v>147</v>
      </c>
      <c r="G1604" t="s">
        <v>439</v>
      </c>
      <c r="H1604" t="s">
        <v>18</v>
      </c>
      <c r="I1604" t="s">
        <v>18</v>
      </c>
      <c r="J1604" t="s">
        <v>91</v>
      </c>
      <c r="K1604"/>
      <c r="L1604"/>
      <c r="M1604" s="12">
        <v>1719.12</v>
      </c>
      <c r="N1604" s="12">
        <v>4471.84</v>
      </c>
      <c r="O1604" s="12">
        <v>1292.68</v>
      </c>
      <c r="P1604" s="12">
        <v>2003.17</v>
      </c>
      <c r="Q1604" s="12">
        <v>3986.62</v>
      </c>
      <c r="R1604" s="12">
        <v>8443.4599999999991</v>
      </c>
      <c r="S1604" s="12">
        <v>3311.22</v>
      </c>
      <c r="T1604" s="12">
        <v>8650.16</v>
      </c>
      <c r="U1604" s="12">
        <v>8034.48</v>
      </c>
      <c r="V1604" s="12">
        <v>2290.73</v>
      </c>
      <c r="W1604" s="12">
        <v>2000</v>
      </c>
      <c r="X1604" s="12">
        <v>3550</v>
      </c>
      <c r="Y1604" s="12">
        <f t="shared" si="27"/>
        <v>49753.48</v>
      </c>
    </row>
    <row r="1605" spans="1:25" ht="15">
      <c r="A1605">
        <v>2013</v>
      </c>
      <c r="B1605" t="s">
        <v>573</v>
      </c>
      <c r="C1605" t="s">
        <v>16</v>
      </c>
      <c r="D1605" t="s">
        <v>16</v>
      </c>
      <c r="E1605" t="s">
        <v>18</v>
      </c>
      <c r="F1605" t="s">
        <v>147</v>
      </c>
      <c r="G1605" t="s">
        <v>439</v>
      </c>
      <c r="H1605" t="s">
        <v>18</v>
      </c>
      <c r="I1605" t="s">
        <v>18</v>
      </c>
      <c r="J1605" t="s">
        <v>44</v>
      </c>
      <c r="K1605"/>
      <c r="L1605"/>
      <c r="M1605" s="12">
        <v>1900</v>
      </c>
      <c r="N1605" s="12">
        <v>1200</v>
      </c>
      <c r="O1605" s="12">
        <v>1200</v>
      </c>
      <c r="P1605" s="12">
        <v>1200</v>
      </c>
      <c r="Q1605" s="12">
        <v>1200</v>
      </c>
      <c r="R1605" s="12">
        <v>1000</v>
      </c>
      <c r="S1605" s="12">
        <v>800</v>
      </c>
      <c r="T1605" s="12">
        <v>900</v>
      </c>
      <c r="U1605" s="12">
        <v>400</v>
      </c>
      <c r="V1605" s="12">
        <v>300</v>
      </c>
      <c r="W1605" s="12">
        <v>400</v>
      </c>
      <c r="X1605" s="12">
        <v>400</v>
      </c>
      <c r="Y1605" s="12">
        <f t="shared" si="27"/>
        <v>10900</v>
      </c>
    </row>
    <row r="1606" spans="1:25" ht="15">
      <c r="A1606">
        <v>2013</v>
      </c>
      <c r="B1606" t="s">
        <v>573</v>
      </c>
      <c r="C1606" t="s">
        <v>16</v>
      </c>
      <c r="D1606" t="s">
        <v>16</v>
      </c>
      <c r="E1606" t="s">
        <v>18</v>
      </c>
      <c r="F1606" t="s">
        <v>233</v>
      </c>
      <c r="G1606" t="s">
        <v>439</v>
      </c>
      <c r="H1606" t="s">
        <v>18</v>
      </c>
      <c r="I1606" t="s">
        <v>18</v>
      </c>
      <c r="J1606" t="s">
        <v>91</v>
      </c>
      <c r="K1606"/>
      <c r="L1606"/>
      <c r="M1606" s="12">
        <v>1028.72</v>
      </c>
      <c r="N1606" s="12">
        <v>4414.47</v>
      </c>
      <c r="O1606" s="12">
        <v>10971.94</v>
      </c>
      <c r="P1606" s="12">
        <v>6746.27</v>
      </c>
      <c r="Q1606" s="12">
        <v>7933.11</v>
      </c>
      <c r="R1606" s="12">
        <v>5303.45</v>
      </c>
      <c r="S1606" s="12">
        <v>6370.98</v>
      </c>
      <c r="T1606" s="12">
        <v>3135.07</v>
      </c>
      <c r="U1606" s="12">
        <v>429.89</v>
      </c>
      <c r="V1606" s="12">
        <v>95.16</v>
      </c>
      <c r="W1606" s="12">
        <v>250</v>
      </c>
      <c r="X1606" s="12">
        <v>250</v>
      </c>
      <c r="Y1606" s="12">
        <f t="shared" si="27"/>
        <v>46929.060000000005</v>
      </c>
    </row>
    <row r="1607" spans="1:25" ht="15">
      <c r="A1607">
        <v>2013</v>
      </c>
      <c r="B1607" t="s">
        <v>573</v>
      </c>
      <c r="C1607" t="s">
        <v>16</v>
      </c>
      <c r="D1607" t="s">
        <v>16</v>
      </c>
      <c r="E1607" t="s">
        <v>45</v>
      </c>
      <c r="F1607" t="s">
        <v>53</v>
      </c>
      <c r="G1607" t="s">
        <v>439</v>
      </c>
      <c r="H1607" t="s">
        <v>45</v>
      </c>
      <c r="I1607" t="s">
        <v>45</v>
      </c>
      <c r="J1607" t="s">
        <v>594</v>
      </c>
      <c r="K1607"/>
      <c r="L1607"/>
      <c r="M1607" s="12"/>
      <c r="N1607" s="12"/>
      <c r="O1607" s="12"/>
      <c r="P1607" s="12"/>
      <c r="Q1607" s="12"/>
      <c r="R1607" s="12"/>
      <c r="S1607" s="12">
        <v>111.65</v>
      </c>
      <c r="T1607" s="12"/>
      <c r="U1607" s="12"/>
      <c r="V1607" s="12"/>
      <c r="W1607" s="12"/>
      <c r="X1607" s="12"/>
      <c r="Y1607" s="12">
        <f t="shared" si="27"/>
        <v>111.65</v>
      </c>
    </row>
    <row r="1608" spans="1:25" ht="15">
      <c r="A1608">
        <v>2013</v>
      </c>
      <c r="B1608" t="s">
        <v>573</v>
      </c>
      <c r="C1608" t="s">
        <v>16</v>
      </c>
      <c r="D1608" t="s">
        <v>16</v>
      </c>
      <c r="E1608" t="s">
        <v>45</v>
      </c>
      <c r="F1608" t="s">
        <v>147</v>
      </c>
      <c r="G1608" t="s">
        <v>439</v>
      </c>
      <c r="H1608" t="s">
        <v>45</v>
      </c>
      <c r="I1608" t="s">
        <v>45</v>
      </c>
      <c r="J1608" t="s">
        <v>218</v>
      </c>
      <c r="K1608"/>
      <c r="L1608"/>
      <c r="M1608" s="12"/>
      <c r="N1608" s="12">
        <v>3498.6</v>
      </c>
      <c r="O1608" s="12"/>
      <c r="P1608" s="12">
        <v>35.47</v>
      </c>
      <c r="Q1608" s="12"/>
      <c r="R1608" s="12">
        <v>14.29</v>
      </c>
      <c r="S1608" s="12"/>
      <c r="T1608" s="12"/>
      <c r="U1608" s="12"/>
      <c r="V1608" s="12"/>
      <c r="W1608" s="12"/>
      <c r="X1608" s="12"/>
      <c r="Y1608" s="12">
        <f t="shared" si="27"/>
        <v>3548.3599999999997</v>
      </c>
    </row>
    <row r="1609" spans="1:25" ht="15">
      <c r="A1609">
        <v>2013</v>
      </c>
      <c r="B1609" t="s">
        <v>573</v>
      </c>
      <c r="C1609" t="s">
        <v>16</v>
      </c>
      <c r="D1609" t="s">
        <v>16</v>
      </c>
      <c r="E1609" t="s">
        <v>45</v>
      </c>
      <c r="F1609" t="s">
        <v>233</v>
      </c>
      <c r="G1609" t="s">
        <v>439</v>
      </c>
      <c r="H1609" t="s">
        <v>45</v>
      </c>
      <c r="I1609" t="s">
        <v>45</v>
      </c>
      <c r="J1609" t="s">
        <v>218</v>
      </c>
      <c r="K1609"/>
      <c r="L1609"/>
      <c r="M1609" s="12"/>
      <c r="N1609" s="12"/>
      <c r="O1609" s="12"/>
      <c r="P1609" s="12">
        <v>315.14999999999998</v>
      </c>
      <c r="Q1609" s="12"/>
      <c r="R1609" s="12"/>
      <c r="S1609" s="12"/>
      <c r="T1609" s="12"/>
      <c r="U1609" s="12"/>
      <c r="V1609" s="12"/>
      <c r="W1609" s="12"/>
      <c r="X1609" s="12"/>
      <c r="Y1609" s="12">
        <f t="shared" si="27"/>
        <v>315.14999999999998</v>
      </c>
    </row>
    <row r="1610" spans="1:25" ht="15">
      <c r="A1610">
        <v>2013</v>
      </c>
      <c r="B1610" t="s">
        <v>573</v>
      </c>
      <c r="C1610" t="s">
        <v>16</v>
      </c>
      <c r="D1610" t="s">
        <v>16</v>
      </c>
      <c r="E1610" t="s">
        <v>141</v>
      </c>
      <c r="F1610" t="s">
        <v>227</v>
      </c>
      <c r="G1610" t="s">
        <v>439</v>
      </c>
      <c r="H1610" t="s">
        <v>141</v>
      </c>
      <c r="I1610" t="s">
        <v>141</v>
      </c>
      <c r="J1610" t="s">
        <v>141</v>
      </c>
      <c r="K1610"/>
      <c r="L1610"/>
      <c r="M1610" s="12"/>
      <c r="N1610" s="12"/>
      <c r="O1610" s="12"/>
      <c r="P1610" s="12"/>
      <c r="Q1610" s="12"/>
      <c r="R1610" s="12"/>
      <c r="S1610" s="12"/>
      <c r="T1610" s="12">
        <v>9000</v>
      </c>
      <c r="U1610" s="12">
        <v>3000</v>
      </c>
      <c r="V1610" s="12"/>
      <c r="W1610" s="12"/>
      <c r="X1610" s="12"/>
      <c r="Y1610" s="12">
        <f t="shared" si="27"/>
        <v>12000</v>
      </c>
    </row>
    <row r="1611" spans="1:25" ht="15">
      <c r="A1611">
        <v>2013</v>
      </c>
      <c r="B1611" t="s">
        <v>574</v>
      </c>
      <c r="C1611" t="s">
        <v>16</v>
      </c>
      <c r="D1611" t="s">
        <v>16</v>
      </c>
      <c r="E1611" t="s">
        <v>141</v>
      </c>
      <c r="F1611" t="s">
        <v>53</v>
      </c>
      <c r="G1611" t="s">
        <v>439</v>
      </c>
      <c r="H1611" t="s">
        <v>141</v>
      </c>
      <c r="I1611" t="s">
        <v>141</v>
      </c>
      <c r="J1611" t="s">
        <v>141</v>
      </c>
      <c r="K1611"/>
      <c r="L1611"/>
      <c r="M1611" s="12">
        <v>7635.61</v>
      </c>
      <c r="N1611" s="12">
        <v>10237.9</v>
      </c>
      <c r="O1611" s="12">
        <v>13860.48</v>
      </c>
      <c r="P1611" s="12">
        <v>14993.64</v>
      </c>
      <c r="Q1611" s="12">
        <v>9618.51</v>
      </c>
      <c r="R1611" s="12">
        <v>7579.08</v>
      </c>
      <c r="S1611" s="12">
        <v>15712.08</v>
      </c>
      <c r="T1611" s="12">
        <v>11917.92</v>
      </c>
      <c r="U1611" s="12">
        <v>11193.94</v>
      </c>
      <c r="V1611" s="12">
        <v>27848.3</v>
      </c>
      <c r="W1611" s="12">
        <v>16700</v>
      </c>
      <c r="X1611" s="12">
        <v>13600</v>
      </c>
      <c r="Y1611" s="12">
        <f t="shared" si="27"/>
        <v>160897.46000000002</v>
      </c>
    </row>
    <row r="1612" spans="1:25" ht="15">
      <c r="A1612">
        <v>2013</v>
      </c>
      <c r="B1612" t="s">
        <v>573</v>
      </c>
      <c r="C1612" t="s">
        <v>16</v>
      </c>
      <c r="D1612" t="s">
        <v>16</v>
      </c>
      <c r="E1612" t="s">
        <v>141</v>
      </c>
      <c r="F1612" t="s">
        <v>165</v>
      </c>
      <c r="G1612" t="s">
        <v>439</v>
      </c>
      <c r="H1612" t="s">
        <v>141</v>
      </c>
      <c r="I1612" t="s">
        <v>141</v>
      </c>
      <c r="J1612" t="s">
        <v>141</v>
      </c>
      <c r="K1612"/>
      <c r="L1612"/>
      <c r="M1612" s="12">
        <v>1593.41</v>
      </c>
      <c r="N1612" s="12">
        <v>1449.56</v>
      </c>
      <c r="O1612" s="12">
        <v>1339.41</v>
      </c>
      <c r="P1612" s="12">
        <v>1294.8800000000001</v>
      </c>
      <c r="Q1612" s="12">
        <v>1188.93</v>
      </c>
      <c r="R1612" s="12">
        <v>1261.53</v>
      </c>
      <c r="S1612" s="12">
        <v>1490.43</v>
      </c>
      <c r="T1612" s="12">
        <v>864.33</v>
      </c>
      <c r="U1612" s="12">
        <v>1242.78</v>
      </c>
      <c r="V1612" s="12">
        <v>1212.58</v>
      </c>
      <c r="W1612" s="12">
        <v>1600</v>
      </c>
      <c r="X1612" s="12">
        <v>1300</v>
      </c>
      <c r="Y1612" s="12">
        <f t="shared" si="27"/>
        <v>15837.84</v>
      </c>
    </row>
    <row r="1613" spans="1:25" ht="15">
      <c r="A1613">
        <v>2013</v>
      </c>
      <c r="B1613" t="s">
        <v>573</v>
      </c>
      <c r="C1613" t="s">
        <v>16</v>
      </c>
      <c r="D1613" t="s">
        <v>16</v>
      </c>
      <c r="E1613" t="s">
        <v>29</v>
      </c>
      <c r="F1613" t="s">
        <v>227</v>
      </c>
      <c r="G1613" t="s">
        <v>439</v>
      </c>
      <c r="H1613" t="s">
        <v>29</v>
      </c>
      <c r="I1613" t="s">
        <v>29</v>
      </c>
      <c r="J1613" t="s">
        <v>95</v>
      </c>
      <c r="K1613"/>
      <c r="L1613"/>
      <c r="M1613" s="12">
        <v>722.17</v>
      </c>
      <c r="N1613" s="12">
        <v>422.57</v>
      </c>
      <c r="O1613" s="12">
        <v>2549.92</v>
      </c>
      <c r="P1613" s="12">
        <v>1572.81</v>
      </c>
      <c r="Q1613" s="12">
        <v>2263.66</v>
      </c>
      <c r="R1613" s="12">
        <v>7476.15</v>
      </c>
      <c r="S1613" s="12">
        <v>2305.54</v>
      </c>
      <c r="T1613" s="12">
        <v>2292.62</v>
      </c>
      <c r="U1613" s="12">
        <v>901.06</v>
      </c>
      <c r="V1613" s="12">
        <v>986.2</v>
      </c>
      <c r="W1613" s="12">
        <v>1000</v>
      </c>
      <c r="X1613" s="12">
        <v>1000</v>
      </c>
      <c r="Y1613" s="12">
        <f t="shared" si="27"/>
        <v>23492.7</v>
      </c>
    </row>
    <row r="1614" spans="1:25" ht="15">
      <c r="A1614">
        <v>2013</v>
      </c>
      <c r="B1614" t="s">
        <v>573</v>
      </c>
      <c r="C1614" t="s">
        <v>16</v>
      </c>
      <c r="D1614" t="s">
        <v>16</v>
      </c>
      <c r="E1614" t="s">
        <v>29</v>
      </c>
      <c r="F1614" t="s">
        <v>227</v>
      </c>
      <c r="G1614" t="s">
        <v>439</v>
      </c>
      <c r="H1614" t="s">
        <v>29</v>
      </c>
      <c r="I1614" t="s">
        <v>29</v>
      </c>
      <c r="J1614" t="s">
        <v>31</v>
      </c>
      <c r="K1614"/>
      <c r="L1614"/>
      <c r="M1614" s="12"/>
      <c r="N1614" s="12"/>
      <c r="O1614" s="12"/>
      <c r="P1614" s="12">
        <v>-30198.560000000001</v>
      </c>
      <c r="Q1614" s="12">
        <v>-144693.29</v>
      </c>
      <c r="R1614" s="12">
        <v>-190048.04</v>
      </c>
      <c r="S1614" s="12">
        <v>-71275.820000000007</v>
      </c>
      <c r="T1614" s="12">
        <v>-24508.89</v>
      </c>
      <c r="U1614" s="12">
        <v>-40994.480000000003</v>
      </c>
      <c r="V1614" s="12">
        <v>-47197.11</v>
      </c>
      <c r="W1614" s="12"/>
      <c r="X1614" s="12"/>
      <c r="Y1614" s="12">
        <f t="shared" si="27"/>
        <v>-548916.19000000006</v>
      </c>
    </row>
    <row r="1615" spans="1:25" ht="15">
      <c r="A1615">
        <v>2013</v>
      </c>
      <c r="B1615" t="s">
        <v>573</v>
      </c>
      <c r="C1615" t="s">
        <v>16</v>
      </c>
      <c r="D1615" t="s">
        <v>16</v>
      </c>
      <c r="E1615" t="s">
        <v>29</v>
      </c>
      <c r="F1615" t="s">
        <v>228</v>
      </c>
      <c r="G1615" t="s">
        <v>439</v>
      </c>
      <c r="H1615" t="s">
        <v>29</v>
      </c>
      <c r="I1615" t="s">
        <v>29</v>
      </c>
      <c r="J1615" t="s">
        <v>30</v>
      </c>
      <c r="K1615"/>
      <c r="L1615"/>
      <c r="M1615" s="12"/>
      <c r="N1615" s="12">
        <v>48.6</v>
      </c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>
        <f t="shared" si="27"/>
        <v>48.6</v>
      </c>
    </row>
    <row r="1616" spans="1:25" ht="15">
      <c r="A1616">
        <v>2013</v>
      </c>
      <c r="B1616" t="s">
        <v>573</v>
      </c>
      <c r="C1616" t="s">
        <v>16</v>
      </c>
      <c r="D1616" t="s">
        <v>16</v>
      </c>
      <c r="E1616" t="s">
        <v>29</v>
      </c>
      <c r="F1616" t="s">
        <v>53</v>
      </c>
      <c r="G1616" t="s">
        <v>439</v>
      </c>
      <c r="H1616" t="s">
        <v>29</v>
      </c>
      <c r="I1616" t="s">
        <v>29</v>
      </c>
      <c r="J1616" t="s">
        <v>95</v>
      </c>
      <c r="K1616"/>
      <c r="L1616"/>
      <c r="M1616" s="12"/>
      <c r="N1616" s="12">
        <v>1000</v>
      </c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>
        <f t="shared" si="27"/>
        <v>1000</v>
      </c>
    </row>
    <row r="1617" spans="1:25" ht="15">
      <c r="A1617">
        <v>2013</v>
      </c>
      <c r="B1617" t="s">
        <v>573</v>
      </c>
      <c r="C1617" t="s">
        <v>16</v>
      </c>
      <c r="D1617" t="s">
        <v>16</v>
      </c>
      <c r="E1617" t="s">
        <v>29</v>
      </c>
      <c r="F1617" t="s">
        <v>53</v>
      </c>
      <c r="G1617" t="s">
        <v>439</v>
      </c>
      <c r="H1617" t="s">
        <v>29</v>
      </c>
      <c r="I1617" t="s">
        <v>29</v>
      </c>
      <c r="J1617" t="s">
        <v>30</v>
      </c>
      <c r="K1617"/>
      <c r="L1617"/>
      <c r="M1617" s="12">
        <v>100</v>
      </c>
      <c r="N1617" s="12">
        <v>117.35</v>
      </c>
      <c r="O1617" s="12">
        <v>397.2</v>
      </c>
      <c r="P1617" s="12">
        <v>303.87</v>
      </c>
      <c r="Q1617" s="12">
        <v>2261.4499999999998</v>
      </c>
      <c r="R1617" s="12">
        <v>218.67</v>
      </c>
      <c r="S1617" s="12">
        <v>200</v>
      </c>
      <c r="T1617" s="12">
        <v>198.4</v>
      </c>
      <c r="U1617" s="12">
        <v>200</v>
      </c>
      <c r="V1617" s="12">
        <v>226.56</v>
      </c>
      <c r="W1617" s="12">
        <v>200</v>
      </c>
      <c r="X1617" s="12">
        <v>200</v>
      </c>
      <c r="Y1617" s="12">
        <f t="shared" si="27"/>
        <v>4623.5</v>
      </c>
    </row>
    <row r="1618" spans="1:25" ht="15">
      <c r="A1618">
        <v>2013</v>
      </c>
      <c r="B1618" t="s">
        <v>573</v>
      </c>
      <c r="C1618" t="s">
        <v>16</v>
      </c>
      <c r="D1618" t="s">
        <v>16</v>
      </c>
      <c r="E1618" t="s">
        <v>29</v>
      </c>
      <c r="F1618" t="s">
        <v>231</v>
      </c>
      <c r="G1618" t="s">
        <v>439</v>
      </c>
      <c r="H1618" t="s">
        <v>29</v>
      </c>
      <c r="I1618" t="s">
        <v>29</v>
      </c>
      <c r="J1618" t="s">
        <v>95</v>
      </c>
      <c r="K1618"/>
      <c r="L1618"/>
      <c r="M1618" s="12"/>
      <c r="N1618" s="12"/>
      <c r="O1618" s="12"/>
      <c r="P1618" s="12">
        <v>130</v>
      </c>
      <c r="Q1618" s="12"/>
      <c r="R1618" s="12"/>
      <c r="S1618" s="12"/>
      <c r="T1618" s="12"/>
      <c r="U1618" s="12"/>
      <c r="V1618" s="12"/>
      <c r="W1618" s="12"/>
      <c r="X1618" s="12"/>
      <c r="Y1618" s="12">
        <f t="shared" si="27"/>
        <v>130</v>
      </c>
    </row>
    <row r="1619" spans="1:25" ht="15">
      <c r="A1619">
        <v>2013</v>
      </c>
      <c r="B1619" t="s">
        <v>573</v>
      </c>
      <c r="C1619" t="s">
        <v>16</v>
      </c>
      <c r="D1619" t="s">
        <v>16</v>
      </c>
      <c r="E1619" t="s">
        <v>29</v>
      </c>
      <c r="F1619" t="s">
        <v>231</v>
      </c>
      <c r="G1619" t="s">
        <v>439</v>
      </c>
      <c r="H1619" t="s">
        <v>29</v>
      </c>
      <c r="I1619" t="s">
        <v>29</v>
      </c>
      <c r="J1619" t="s">
        <v>31</v>
      </c>
      <c r="K1619"/>
      <c r="L1619"/>
      <c r="M1619" s="12"/>
      <c r="N1619" s="12"/>
      <c r="O1619" s="12"/>
      <c r="P1619" s="12">
        <v>2601</v>
      </c>
      <c r="Q1619" s="12"/>
      <c r="R1619" s="12"/>
      <c r="S1619" s="12"/>
      <c r="T1619" s="12"/>
      <c r="U1619" s="12">
        <v>800</v>
      </c>
      <c r="V1619" s="12"/>
      <c r="W1619" s="12"/>
      <c r="X1619" s="12"/>
      <c r="Y1619" s="12">
        <f t="shared" ref="Y1619:Y1653" si="28">SUM(M1619:X1619)</f>
        <v>3401</v>
      </c>
    </row>
    <row r="1620" spans="1:25" ht="15">
      <c r="A1620">
        <v>2013</v>
      </c>
      <c r="B1620" t="s">
        <v>573</v>
      </c>
      <c r="C1620" t="s">
        <v>16</v>
      </c>
      <c r="D1620" t="s">
        <v>16</v>
      </c>
      <c r="E1620" t="s">
        <v>29</v>
      </c>
      <c r="F1620" t="s">
        <v>232</v>
      </c>
      <c r="G1620" t="s">
        <v>439</v>
      </c>
      <c r="H1620" t="s">
        <v>29</v>
      </c>
      <c r="I1620" t="s">
        <v>29</v>
      </c>
      <c r="J1620" t="s">
        <v>584</v>
      </c>
      <c r="K1620"/>
      <c r="L1620"/>
      <c r="M1620" s="12">
        <v>690</v>
      </c>
      <c r="N1620" s="12"/>
      <c r="O1620" s="12"/>
      <c r="P1620" s="12"/>
      <c r="Q1620" s="12"/>
      <c r="R1620" s="12"/>
      <c r="S1620" s="12">
        <v>278</v>
      </c>
      <c r="T1620" s="12"/>
      <c r="U1620" s="12"/>
      <c r="V1620" s="12"/>
      <c r="W1620" s="12"/>
      <c r="X1620" s="12"/>
      <c r="Y1620" s="12">
        <f t="shared" si="28"/>
        <v>968</v>
      </c>
    </row>
    <row r="1621" spans="1:25" ht="15">
      <c r="A1621">
        <v>2013</v>
      </c>
      <c r="B1621" t="s">
        <v>573</v>
      </c>
      <c r="C1621" t="s">
        <v>16</v>
      </c>
      <c r="D1621" t="s">
        <v>16</v>
      </c>
      <c r="E1621" t="s">
        <v>29</v>
      </c>
      <c r="F1621" t="s">
        <v>232</v>
      </c>
      <c r="G1621" t="s">
        <v>439</v>
      </c>
      <c r="H1621" t="s">
        <v>29</v>
      </c>
      <c r="I1621" t="s">
        <v>29</v>
      </c>
      <c r="J1621" t="s">
        <v>30</v>
      </c>
      <c r="K1621"/>
      <c r="L1621"/>
      <c r="M1621" s="12"/>
      <c r="N1621" s="12"/>
      <c r="O1621" s="12"/>
      <c r="P1621" s="12">
        <v>40</v>
      </c>
      <c r="Q1621" s="12"/>
      <c r="R1621" s="12"/>
      <c r="S1621" s="12"/>
      <c r="T1621" s="12"/>
      <c r="U1621" s="12"/>
      <c r="V1621" s="12"/>
      <c r="W1621" s="12">
        <v>150</v>
      </c>
      <c r="X1621" s="12">
        <v>150</v>
      </c>
      <c r="Y1621" s="12">
        <f t="shared" si="28"/>
        <v>340</v>
      </c>
    </row>
    <row r="1622" spans="1:25" ht="15">
      <c r="A1622">
        <v>2013</v>
      </c>
      <c r="B1622" t="s">
        <v>573</v>
      </c>
      <c r="C1622" t="s">
        <v>16</v>
      </c>
      <c r="D1622" t="s">
        <v>16</v>
      </c>
      <c r="E1622" t="s">
        <v>29</v>
      </c>
      <c r="F1622" t="s">
        <v>165</v>
      </c>
      <c r="G1622" t="s">
        <v>439</v>
      </c>
      <c r="H1622" t="s">
        <v>29</v>
      </c>
      <c r="I1622" t="s">
        <v>29</v>
      </c>
      <c r="J1622" t="s">
        <v>31</v>
      </c>
      <c r="K1622"/>
      <c r="L1622"/>
      <c r="M1622" s="12"/>
      <c r="N1622" s="12">
        <v>300</v>
      </c>
      <c r="O1622" s="12">
        <v>600</v>
      </c>
      <c r="P1622" s="12">
        <v>300</v>
      </c>
      <c r="Q1622" s="12">
        <v>144993.29</v>
      </c>
      <c r="R1622" s="12">
        <v>190348.04</v>
      </c>
      <c r="S1622" s="12">
        <v>71575.820000000007</v>
      </c>
      <c r="T1622" s="12">
        <v>24808.89</v>
      </c>
      <c r="U1622" s="12">
        <v>41015.08</v>
      </c>
      <c r="V1622" s="12">
        <v>47497.11</v>
      </c>
      <c r="W1622" s="12">
        <v>300</v>
      </c>
      <c r="X1622" s="12">
        <v>300</v>
      </c>
      <c r="Y1622" s="12">
        <f t="shared" si="28"/>
        <v>522038.23000000004</v>
      </c>
    </row>
    <row r="1623" spans="1:25" ht="15">
      <c r="A1623">
        <v>2013</v>
      </c>
      <c r="B1623" t="s">
        <v>573</v>
      </c>
      <c r="C1623" t="s">
        <v>16</v>
      </c>
      <c r="D1623" t="s">
        <v>16</v>
      </c>
      <c r="E1623" t="s">
        <v>29</v>
      </c>
      <c r="F1623" t="s">
        <v>165</v>
      </c>
      <c r="G1623" t="s">
        <v>439</v>
      </c>
      <c r="H1623" t="s">
        <v>29</v>
      </c>
      <c r="I1623" t="s">
        <v>29</v>
      </c>
      <c r="J1623" t="s">
        <v>30</v>
      </c>
      <c r="K1623"/>
      <c r="L1623"/>
      <c r="M1623" s="12">
        <v>59.49</v>
      </c>
      <c r="N1623" s="12"/>
      <c r="O1623" s="12">
        <v>210.99</v>
      </c>
      <c r="P1623" s="12">
        <v>26.18</v>
      </c>
      <c r="Q1623" s="12"/>
      <c r="R1623" s="12">
        <v>525.85</v>
      </c>
      <c r="S1623" s="12">
        <v>471.75</v>
      </c>
      <c r="T1623" s="12"/>
      <c r="U1623" s="12">
        <v>1837.47</v>
      </c>
      <c r="V1623" s="12">
        <v>49.73</v>
      </c>
      <c r="W1623" s="12">
        <v>50</v>
      </c>
      <c r="X1623" s="12">
        <v>50</v>
      </c>
      <c r="Y1623" s="12">
        <f t="shared" si="28"/>
        <v>3281.46</v>
      </c>
    </row>
    <row r="1624" spans="1:25" ht="15">
      <c r="A1624">
        <v>2013</v>
      </c>
      <c r="B1624" t="s">
        <v>573</v>
      </c>
      <c r="C1624" t="s">
        <v>16</v>
      </c>
      <c r="D1624" t="s">
        <v>16</v>
      </c>
      <c r="E1624" t="s">
        <v>29</v>
      </c>
      <c r="F1624" t="s">
        <v>156</v>
      </c>
      <c r="G1624" t="s">
        <v>439</v>
      </c>
      <c r="H1624" t="s">
        <v>29</v>
      </c>
      <c r="I1624" t="s">
        <v>29</v>
      </c>
      <c r="J1624" t="s">
        <v>30</v>
      </c>
      <c r="K1624"/>
      <c r="L1624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>
        <v>150</v>
      </c>
      <c r="X1624" s="12">
        <v>150</v>
      </c>
      <c r="Y1624" s="12">
        <f t="shared" si="28"/>
        <v>300</v>
      </c>
    </row>
    <row r="1625" spans="1:25" ht="15">
      <c r="A1625">
        <v>2013</v>
      </c>
      <c r="B1625" t="s">
        <v>573</v>
      </c>
      <c r="C1625" t="s">
        <v>16</v>
      </c>
      <c r="D1625" t="s">
        <v>16</v>
      </c>
      <c r="E1625" t="s">
        <v>29</v>
      </c>
      <c r="F1625" t="s">
        <v>204</v>
      </c>
      <c r="G1625" t="s">
        <v>439</v>
      </c>
      <c r="H1625" t="s">
        <v>29</v>
      </c>
      <c r="I1625" t="s">
        <v>29</v>
      </c>
      <c r="J1625" t="s">
        <v>30</v>
      </c>
      <c r="K1625"/>
      <c r="L1625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>
        <v>100</v>
      </c>
      <c r="X1625" s="12">
        <v>100</v>
      </c>
      <c r="Y1625" s="12">
        <f t="shared" si="28"/>
        <v>200</v>
      </c>
    </row>
    <row r="1626" spans="1:25" ht="15">
      <c r="A1626">
        <v>2013</v>
      </c>
      <c r="B1626" t="s">
        <v>573</v>
      </c>
      <c r="C1626" t="s">
        <v>16</v>
      </c>
      <c r="D1626" t="s">
        <v>16</v>
      </c>
      <c r="E1626" t="s">
        <v>29</v>
      </c>
      <c r="F1626" t="s">
        <v>259</v>
      </c>
      <c r="G1626" t="s">
        <v>439</v>
      </c>
      <c r="H1626" t="s">
        <v>29</v>
      </c>
      <c r="I1626" t="s">
        <v>29</v>
      </c>
      <c r="J1626" t="s">
        <v>30</v>
      </c>
      <c r="K1626"/>
      <c r="L1626"/>
      <c r="M1626" s="12"/>
      <c r="N1626" s="12"/>
      <c r="O1626" s="12">
        <v>180.39</v>
      </c>
      <c r="P1626" s="12">
        <v>4848.5200000000004</v>
      </c>
      <c r="Q1626" s="12">
        <v>188.29</v>
      </c>
      <c r="R1626" s="12"/>
      <c r="S1626" s="12"/>
      <c r="T1626" s="12"/>
      <c r="U1626" s="12"/>
      <c r="V1626" s="12"/>
      <c r="W1626" s="12">
        <v>150</v>
      </c>
      <c r="X1626" s="12">
        <v>150</v>
      </c>
      <c r="Y1626" s="12">
        <f t="shared" si="28"/>
        <v>5517.2000000000007</v>
      </c>
    </row>
    <row r="1627" spans="1:25" ht="15">
      <c r="A1627">
        <v>2013</v>
      </c>
      <c r="B1627" t="s">
        <v>573</v>
      </c>
      <c r="C1627" t="s">
        <v>16</v>
      </c>
      <c r="D1627" t="s">
        <v>16</v>
      </c>
      <c r="E1627" t="s">
        <v>29</v>
      </c>
      <c r="F1627" t="s">
        <v>88</v>
      </c>
      <c r="G1627" t="s">
        <v>439</v>
      </c>
      <c r="H1627" t="s">
        <v>29</v>
      </c>
      <c r="I1627" t="s">
        <v>29</v>
      </c>
      <c r="J1627" t="s">
        <v>30</v>
      </c>
      <c r="K1627"/>
      <c r="L1627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>
        <v>50</v>
      </c>
      <c r="X1627" s="12">
        <v>50</v>
      </c>
      <c r="Y1627" s="12">
        <f t="shared" si="28"/>
        <v>100</v>
      </c>
    </row>
    <row r="1628" spans="1:25" ht="15">
      <c r="A1628">
        <v>2013</v>
      </c>
      <c r="B1628" t="s">
        <v>573</v>
      </c>
      <c r="C1628" t="s">
        <v>16</v>
      </c>
      <c r="D1628" t="s">
        <v>16</v>
      </c>
      <c r="E1628" t="s">
        <v>29</v>
      </c>
      <c r="F1628" t="s">
        <v>230</v>
      </c>
      <c r="G1628" t="s">
        <v>439</v>
      </c>
      <c r="H1628" t="s">
        <v>29</v>
      </c>
      <c r="I1628" t="s">
        <v>29</v>
      </c>
      <c r="J1628" t="s">
        <v>30</v>
      </c>
      <c r="K1628"/>
      <c r="L1628"/>
      <c r="M1628" s="12"/>
      <c r="N1628" s="12"/>
      <c r="O1628" s="12"/>
      <c r="P1628" s="12"/>
      <c r="Q1628" s="12">
        <v>7.36</v>
      </c>
      <c r="R1628" s="12"/>
      <c r="S1628" s="12"/>
      <c r="T1628" s="12"/>
      <c r="U1628" s="12"/>
      <c r="V1628" s="12">
        <v>24.5</v>
      </c>
      <c r="W1628" s="12">
        <v>100</v>
      </c>
      <c r="X1628" s="12">
        <v>100</v>
      </c>
      <c r="Y1628" s="12">
        <f t="shared" si="28"/>
        <v>231.86</v>
      </c>
    </row>
    <row r="1629" spans="1:25" ht="15">
      <c r="A1629">
        <v>2013</v>
      </c>
      <c r="B1629" t="s">
        <v>573</v>
      </c>
      <c r="C1629" t="s">
        <v>16</v>
      </c>
      <c r="D1629" t="s">
        <v>16</v>
      </c>
      <c r="E1629" t="s">
        <v>29</v>
      </c>
      <c r="F1629" t="s">
        <v>17</v>
      </c>
      <c r="G1629" t="s">
        <v>439</v>
      </c>
      <c r="H1629" t="s">
        <v>29</v>
      </c>
      <c r="I1629" t="s">
        <v>29</v>
      </c>
      <c r="J1629" t="s">
        <v>31</v>
      </c>
      <c r="K1629"/>
      <c r="L1629"/>
      <c r="M1629" s="12"/>
      <c r="N1629" s="12">
        <v>107.52</v>
      </c>
      <c r="O1629" s="12"/>
      <c r="P1629" s="12">
        <v>238.08</v>
      </c>
      <c r="Q1629" s="12">
        <v>290.56</v>
      </c>
      <c r="R1629" s="12"/>
      <c r="S1629" s="12"/>
      <c r="T1629" s="12">
        <v>250</v>
      </c>
      <c r="U1629" s="12">
        <v>289.27999999999997</v>
      </c>
      <c r="V1629" s="12">
        <v>268.8</v>
      </c>
      <c r="W1629" s="12">
        <v>350</v>
      </c>
      <c r="X1629" s="12">
        <v>350</v>
      </c>
      <c r="Y1629" s="12">
        <f t="shared" si="28"/>
        <v>2144.2399999999998</v>
      </c>
    </row>
    <row r="1630" spans="1:25" ht="15">
      <c r="A1630">
        <v>2013</v>
      </c>
      <c r="B1630" t="s">
        <v>573</v>
      </c>
      <c r="C1630" t="s">
        <v>16</v>
      </c>
      <c r="D1630" t="s">
        <v>16</v>
      </c>
      <c r="E1630" t="s">
        <v>29</v>
      </c>
      <c r="F1630" t="s">
        <v>17</v>
      </c>
      <c r="G1630" t="s">
        <v>439</v>
      </c>
      <c r="H1630" t="s">
        <v>29</v>
      </c>
      <c r="I1630" t="s">
        <v>29</v>
      </c>
      <c r="J1630" t="s">
        <v>30</v>
      </c>
      <c r="K1630"/>
      <c r="L1630"/>
      <c r="M1630" s="12">
        <v>1213.43</v>
      </c>
      <c r="N1630" s="12">
        <v>2309.09</v>
      </c>
      <c r="O1630" s="12">
        <v>5560.07</v>
      </c>
      <c r="P1630" s="12">
        <v>4050.34</v>
      </c>
      <c r="Q1630" s="12">
        <v>13973.53</v>
      </c>
      <c r="R1630" s="12">
        <v>2236.9899999999998</v>
      </c>
      <c r="S1630" s="12">
        <v>2603.41</v>
      </c>
      <c r="T1630" s="12">
        <v>2429.2600000000002</v>
      </c>
      <c r="U1630" s="12">
        <v>2026.25</v>
      </c>
      <c r="V1630" s="12">
        <v>1236.9000000000001</v>
      </c>
      <c r="W1630" s="12">
        <v>1000</v>
      </c>
      <c r="X1630" s="12">
        <v>1300</v>
      </c>
      <c r="Y1630" s="12">
        <f t="shared" si="28"/>
        <v>39939.269999999997</v>
      </c>
    </row>
    <row r="1631" spans="1:25" ht="15">
      <c r="A1631">
        <v>2013</v>
      </c>
      <c r="B1631" t="s">
        <v>573</v>
      </c>
      <c r="C1631" t="s">
        <v>16</v>
      </c>
      <c r="D1631" t="s">
        <v>16</v>
      </c>
      <c r="E1631" t="s">
        <v>29</v>
      </c>
      <c r="F1631" t="s">
        <v>147</v>
      </c>
      <c r="G1631" t="s">
        <v>439</v>
      </c>
      <c r="H1631" t="s">
        <v>29</v>
      </c>
      <c r="I1631" t="s">
        <v>29</v>
      </c>
      <c r="J1631" t="s">
        <v>30</v>
      </c>
      <c r="K1631"/>
      <c r="L1631"/>
      <c r="M1631" s="12">
        <v>1334.64</v>
      </c>
      <c r="N1631" s="12">
        <v>1004.52</v>
      </c>
      <c r="O1631" s="12">
        <v>180</v>
      </c>
      <c r="P1631" s="12">
        <v>3011</v>
      </c>
      <c r="Q1631" s="12">
        <v>5392.37</v>
      </c>
      <c r="R1631" s="12">
        <v>3529.5</v>
      </c>
      <c r="S1631" s="12">
        <v>210</v>
      </c>
      <c r="T1631" s="12">
        <v>4337.6099999999997</v>
      </c>
      <c r="U1631" s="12">
        <v>1242.81</v>
      </c>
      <c r="V1631" s="12">
        <v>3848.41</v>
      </c>
      <c r="W1631" s="12">
        <v>4738</v>
      </c>
      <c r="X1631" s="12">
        <v>3722</v>
      </c>
      <c r="Y1631" s="12">
        <f t="shared" si="28"/>
        <v>32550.86</v>
      </c>
    </row>
    <row r="1632" spans="1:25" ht="15">
      <c r="A1632">
        <v>2013</v>
      </c>
      <c r="B1632" t="s">
        <v>573</v>
      </c>
      <c r="C1632" t="s">
        <v>16</v>
      </c>
      <c r="D1632" t="s">
        <v>16</v>
      </c>
      <c r="E1632" t="s">
        <v>29</v>
      </c>
      <c r="F1632" t="s">
        <v>233</v>
      </c>
      <c r="G1632" t="s">
        <v>439</v>
      </c>
      <c r="H1632" t="s">
        <v>29</v>
      </c>
      <c r="I1632" t="s">
        <v>29</v>
      </c>
      <c r="J1632" t="s">
        <v>31</v>
      </c>
      <c r="K1632"/>
      <c r="L1632"/>
      <c r="M1632" s="12"/>
      <c r="N1632" s="12"/>
      <c r="O1632" s="12"/>
      <c r="P1632" s="12">
        <v>30198.560000000001</v>
      </c>
      <c r="Q1632" s="12"/>
      <c r="R1632" s="12"/>
      <c r="S1632" s="12"/>
      <c r="T1632" s="12"/>
      <c r="U1632" s="12"/>
      <c r="V1632" s="12"/>
      <c r="W1632" s="12"/>
      <c r="X1632" s="12"/>
      <c r="Y1632" s="12">
        <f t="shared" si="28"/>
        <v>30198.560000000001</v>
      </c>
    </row>
    <row r="1633" spans="1:25" ht="15">
      <c r="A1633">
        <v>2013</v>
      </c>
      <c r="B1633" t="s">
        <v>573</v>
      </c>
      <c r="C1633" t="s">
        <v>16</v>
      </c>
      <c r="D1633" t="s">
        <v>16</v>
      </c>
      <c r="E1633" t="s">
        <v>29</v>
      </c>
      <c r="F1633" t="s">
        <v>233</v>
      </c>
      <c r="G1633" t="s">
        <v>439</v>
      </c>
      <c r="H1633" t="s">
        <v>29</v>
      </c>
      <c r="I1633" t="s">
        <v>29</v>
      </c>
      <c r="J1633" t="s">
        <v>30</v>
      </c>
      <c r="K1633"/>
      <c r="L1633"/>
      <c r="M1633" s="12">
        <v>763.23</v>
      </c>
      <c r="N1633" s="12">
        <v>775.69</v>
      </c>
      <c r="O1633" s="12">
        <v>1429.68</v>
      </c>
      <c r="P1633" s="12">
        <v>1216.5899999999999</v>
      </c>
      <c r="Q1633" s="12">
        <v>1054.3399999999999</v>
      </c>
      <c r="R1633" s="12">
        <v>2124.48</v>
      </c>
      <c r="S1633" s="12">
        <v>3600.24</v>
      </c>
      <c r="T1633" s="12">
        <v>2918.03</v>
      </c>
      <c r="U1633" s="12">
        <v>605.48</v>
      </c>
      <c r="V1633" s="12">
        <v>4530.59</v>
      </c>
      <c r="W1633" s="12">
        <v>2000</v>
      </c>
      <c r="X1633" s="12">
        <v>500</v>
      </c>
      <c r="Y1633" s="12">
        <f t="shared" si="28"/>
        <v>21518.35</v>
      </c>
    </row>
    <row r="1634" spans="1:25" ht="15">
      <c r="A1634">
        <v>2013</v>
      </c>
      <c r="B1634" t="s">
        <v>573</v>
      </c>
      <c r="C1634" t="s">
        <v>16</v>
      </c>
      <c r="D1634" t="s">
        <v>16</v>
      </c>
      <c r="E1634" t="s">
        <v>89</v>
      </c>
      <c r="F1634" t="s">
        <v>231</v>
      </c>
      <c r="G1634" t="s">
        <v>439</v>
      </c>
      <c r="H1634" t="s">
        <v>89</v>
      </c>
      <c r="I1634" t="s">
        <v>205</v>
      </c>
      <c r="J1634" t="s">
        <v>282</v>
      </c>
      <c r="K1634"/>
      <c r="L1634"/>
      <c r="M1634" s="12"/>
      <c r="N1634" s="12"/>
      <c r="O1634" s="12"/>
      <c r="P1634" s="12"/>
      <c r="Q1634" s="12"/>
      <c r="R1634" s="12"/>
      <c r="S1634" s="12"/>
      <c r="T1634" s="12">
        <v>44</v>
      </c>
      <c r="U1634" s="12"/>
      <c r="V1634" s="12">
        <v>57</v>
      </c>
      <c r="W1634" s="12"/>
      <c r="X1634" s="12"/>
      <c r="Y1634" s="12">
        <f t="shared" si="28"/>
        <v>101</v>
      </c>
    </row>
    <row r="1635" spans="1:25" ht="15">
      <c r="A1635">
        <v>2013</v>
      </c>
      <c r="B1635" t="s">
        <v>574</v>
      </c>
      <c r="C1635" t="s">
        <v>16</v>
      </c>
      <c r="D1635" t="s">
        <v>16</v>
      </c>
      <c r="E1635" t="s">
        <v>89</v>
      </c>
      <c r="F1635" t="s">
        <v>232</v>
      </c>
      <c r="G1635" t="s">
        <v>439</v>
      </c>
      <c r="H1635" t="s">
        <v>89</v>
      </c>
      <c r="I1635" t="s">
        <v>205</v>
      </c>
      <c r="J1635" t="s">
        <v>206</v>
      </c>
      <c r="K1635"/>
      <c r="L1635"/>
      <c r="M1635" s="12">
        <v>6243.11</v>
      </c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>
        <f t="shared" si="28"/>
        <v>6243.11</v>
      </c>
    </row>
    <row r="1636" spans="1:25" ht="15">
      <c r="A1636">
        <v>2013</v>
      </c>
      <c r="B1636" t="s">
        <v>574</v>
      </c>
      <c r="C1636" t="s">
        <v>16</v>
      </c>
      <c r="D1636" t="s">
        <v>16</v>
      </c>
      <c r="E1636" t="s">
        <v>89</v>
      </c>
      <c r="F1636" t="s">
        <v>232</v>
      </c>
      <c r="G1636" t="s">
        <v>439</v>
      </c>
      <c r="H1636" t="s">
        <v>89</v>
      </c>
      <c r="I1636" t="s">
        <v>205</v>
      </c>
      <c r="J1636" t="s">
        <v>282</v>
      </c>
      <c r="K1636"/>
      <c r="L1636"/>
      <c r="M1636" s="12">
        <v>33967.24</v>
      </c>
      <c r="N1636" s="12">
        <v>38820.86</v>
      </c>
      <c r="O1636" s="12">
        <v>38009.67</v>
      </c>
      <c r="P1636" s="12">
        <v>38693.370000000003</v>
      </c>
      <c r="Q1636" s="12">
        <v>80135.05</v>
      </c>
      <c r="R1636" s="12">
        <v>75376.399999999994</v>
      </c>
      <c r="S1636" s="12">
        <v>17177.490000000002</v>
      </c>
      <c r="T1636" s="12">
        <v>98583.24</v>
      </c>
      <c r="U1636" s="12">
        <v>83351.27</v>
      </c>
      <c r="V1636" s="12">
        <v>89855.2</v>
      </c>
      <c r="W1636" s="12">
        <v>73500</v>
      </c>
      <c r="X1636" s="12">
        <v>62000</v>
      </c>
      <c r="Y1636" s="12">
        <f t="shared" si="28"/>
        <v>729469.78999999992</v>
      </c>
    </row>
    <row r="1637" spans="1:25" ht="15">
      <c r="A1637">
        <v>2013</v>
      </c>
      <c r="B1637" t="s">
        <v>574</v>
      </c>
      <c r="C1637" t="s">
        <v>16</v>
      </c>
      <c r="D1637" t="s">
        <v>16</v>
      </c>
      <c r="E1637" t="s">
        <v>89</v>
      </c>
      <c r="F1637" t="s">
        <v>156</v>
      </c>
      <c r="G1637" t="s">
        <v>439</v>
      </c>
      <c r="H1637" t="s">
        <v>89</v>
      </c>
      <c r="I1637" t="s">
        <v>205</v>
      </c>
      <c r="J1637" t="s">
        <v>206</v>
      </c>
      <c r="K1637"/>
      <c r="L1637"/>
      <c r="M1637" s="12">
        <v>70613.61</v>
      </c>
      <c r="N1637" s="12">
        <v>45161.88</v>
      </c>
      <c r="O1637" s="12">
        <v>34301.96</v>
      </c>
      <c r="P1637" s="12">
        <v>61698.97</v>
      </c>
      <c r="Q1637" s="12">
        <v>32339.66</v>
      </c>
      <c r="R1637" s="12">
        <v>19632.62</v>
      </c>
      <c r="S1637" s="12">
        <v>46467.8</v>
      </c>
      <c r="T1637" s="12">
        <v>27898.29</v>
      </c>
      <c r="U1637" s="12">
        <v>31820.5</v>
      </c>
      <c r="V1637" s="12">
        <v>38254.85</v>
      </c>
      <c r="W1637" s="12">
        <v>53500</v>
      </c>
      <c r="X1637" s="12">
        <v>56000</v>
      </c>
      <c r="Y1637" s="12">
        <f t="shared" si="28"/>
        <v>517690.13999999996</v>
      </c>
    </row>
    <row r="1638" spans="1:25" ht="15">
      <c r="A1638">
        <v>2013</v>
      </c>
      <c r="B1638" t="s">
        <v>574</v>
      </c>
      <c r="C1638" t="s">
        <v>16</v>
      </c>
      <c r="D1638" t="s">
        <v>16</v>
      </c>
      <c r="E1638" t="s">
        <v>89</v>
      </c>
      <c r="F1638" t="s">
        <v>204</v>
      </c>
      <c r="G1638" t="s">
        <v>439</v>
      </c>
      <c r="H1638" t="s">
        <v>89</v>
      </c>
      <c r="I1638" t="s">
        <v>205</v>
      </c>
      <c r="J1638" t="s">
        <v>206</v>
      </c>
      <c r="K1638"/>
      <c r="L1638"/>
      <c r="M1638" s="12">
        <v>35170.01</v>
      </c>
      <c r="N1638" s="12">
        <v>57223.75</v>
      </c>
      <c r="O1638" s="12">
        <v>70983.839999999997</v>
      </c>
      <c r="P1638" s="12">
        <v>128664.28</v>
      </c>
      <c r="Q1638" s="12">
        <v>106306.42</v>
      </c>
      <c r="R1638" s="12">
        <v>119740.62</v>
      </c>
      <c r="S1638" s="12">
        <v>110899.12</v>
      </c>
      <c r="T1638" s="12">
        <v>101262.64</v>
      </c>
      <c r="U1638" s="12">
        <v>50255.18</v>
      </c>
      <c r="V1638" s="12">
        <v>30801.29</v>
      </c>
      <c r="W1638" s="12">
        <v>82750</v>
      </c>
      <c r="X1638" s="12">
        <v>60000</v>
      </c>
      <c r="Y1638" s="12">
        <f t="shared" si="28"/>
        <v>954057.15000000014</v>
      </c>
    </row>
    <row r="1639" spans="1:25" ht="15">
      <c r="A1639">
        <v>2013</v>
      </c>
      <c r="B1639" t="s">
        <v>574</v>
      </c>
      <c r="C1639" t="s">
        <v>16</v>
      </c>
      <c r="D1639" t="s">
        <v>16</v>
      </c>
      <c r="E1639" t="s">
        <v>89</v>
      </c>
      <c r="F1639" t="s">
        <v>259</v>
      </c>
      <c r="G1639" t="s">
        <v>439</v>
      </c>
      <c r="H1639" t="s">
        <v>89</v>
      </c>
      <c r="I1639" t="s">
        <v>205</v>
      </c>
      <c r="J1639" t="s">
        <v>274</v>
      </c>
      <c r="K1639"/>
      <c r="L1639"/>
      <c r="M1639" s="12">
        <v>4372.34</v>
      </c>
      <c r="N1639" s="12">
        <v>8848.09</v>
      </c>
      <c r="O1639" s="12">
        <v>22625.14</v>
      </c>
      <c r="P1639" s="12">
        <v>31128.53</v>
      </c>
      <c r="Q1639" s="12">
        <v>20777.91</v>
      </c>
      <c r="R1639" s="12">
        <v>21140.79</v>
      </c>
      <c r="S1639" s="12">
        <v>11063.91</v>
      </c>
      <c r="T1639" s="12">
        <v>22278.44</v>
      </c>
      <c r="U1639" s="12">
        <v>17660.29</v>
      </c>
      <c r="V1639" s="12"/>
      <c r="W1639" s="12">
        <v>8500</v>
      </c>
      <c r="X1639" s="12">
        <v>16000</v>
      </c>
      <c r="Y1639" s="12">
        <f t="shared" si="28"/>
        <v>184395.44000000003</v>
      </c>
    </row>
    <row r="1640" spans="1:25" ht="15">
      <c r="A1640">
        <v>2013</v>
      </c>
      <c r="B1640" t="s">
        <v>574</v>
      </c>
      <c r="C1640" t="s">
        <v>16</v>
      </c>
      <c r="D1640" t="s">
        <v>16</v>
      </c>
      <c r="E1640" t="s">
        <v>89</v>
      </c>
      <c r="F1640" t="s">
        <v>259</v>
      </c>
      <c r="G1640" t="s">
        <v>439</v>
      </c>
      <c r="H1640" t="s">
        <v>89</v>
      </c>
      <c r="I1640" t="s">
        <v>210</v>
      </c>
      <c r="J1640" t="s">
        <v>211</v>
      </c>
      <c r="K1640"/>
      <c r="L1640"/>
      <c r="M1640" s="12"/>
      <c r="N1640" s="12"/>
      <c r="O1640" s="12"/>
      <c r="P1640" s="12"/>
      <c r="Q1640" s="12">
        <v>5470.03</v>
      </c>
      <c r="R1640" s="12">
        <v>8643.39</v>
      </c>
      <c r="S1640" s="12">
        <v>6736.38</v>
      </c>
      <c r="T1640" s="12">
        <v>10196.959999999999</v>
      </c>
      <c r="U1640" s="12">
        <v>5492.73</v>
      </c>
      <c r="V1640" s="12">
        <v>18082.77</v>
      </c>
      <c r="W1640" s="12">
        <v>29000</v>
      </c>
      <c r="X1640" s="12">
        <v>2000</v>
      </c>
      <c r="Y1640" s="12">
        <f t="shared" si="28"/>
        <v>85622.26</v>
      </c>
    </row>
    <row r="1641" spans="1:25" ht="15">
      <c r="A1641">
        <v>2013</v>
      </c>
      <c r="B1641" t="s">
        <v>573</v>
      </c>
      <c r="C1641" t="s">
        <v>16</v>
      </c>
      <c r="D1641" t="s">
        <v>16</v>
      </c>
      <c r="E1641" t="s">
        <v>89</v>
      </c>
      <c r="F1641" t="s">
        <v>88</v>
      </c>
      <c r="G1641" t="s">
        <v>439</v>
      </c>
      <c r="H1641" t="s">
        <v>89</v>
      </c>
      <c r="I1641" t="s">
        <v>205</v>
      </c>
      <c r="J1641" t="s">
        <v>206</v>
      </c>
      <c r="K1641"/>
      <c r="L1641"/>
      <c r="M1641" s="12">
        <v>6614.68</v>
      </c>
      <c r="N1641" s="12">
        <v>4014.88</v>
      </c>
      <c r="O1641" s="12">
        <v>5844.9</v>
      </c>
      <c r="P1641" s="12">
        <v>9812.02</v>
      </c>
      <c r="Q1641" s="12">
        <v>6799.64</v>
      </c>
      <c r="R1641" s="12">
        <v>9500.5400000000009</v>
      </c>
      <c r="S1641" s="12">
        <v>4503.72</v>
      </c>
      <c r="T1641" s="12">
        <v>6148.77</v>
      </c>
      <c r="U1641" s="12">
        <v>7948.12</v>
      </c>
      <c r="V1641" s="12">
        <v>9552.0499999999993</v>
      </c>
      <c r="W1641" s="12"/>
      <c r="X1641" s="12"/>
      <c r="Y1641" s="12">
        <f t="shared" si="28"/>
        <v>70739.320000000007</v>
      </c>
    </row>
    <row r="1642" spans="1:25" ht="15">
      <c r="A1642">
        <v>2013</v>
      </c>
      <c r="B1642" t="s">
        <v>573</v>
      </c>
      <c r="C1642" t="s">
        <v>16</v>
      </c>
      <c r="D1642" t="s">
        <v>16</v>
      </c>
      <c r="E1642" t="s">
        <v>89</v>
      </c>
      <c r="F1642" t="s">
        <v>88</v>
      </c>
      <c r="G1642" t="s">
        <v>439</v>
      </c>
      <c r="H1642" t="s">
        <v>89</v>
      </c>
      <c r="I1642" t="s">
        <v>90</v>
      </c>
      <c r="J1642" t="s">
        <v>90</v>
      </c>
      <c r="K1642"/>
      <c r="L164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>
        <v>2750</v>
      </c>
      <c r="X1642" s="12">
        <v>4000</v>
      </c>
      <c r="Y1642" s="12">
        <f t="shared" si="28"/>
        <v>6750</v>
      </c>
    </row>
    <row r="1643" spans="1:25" ht="15">
      <c r="A1643">
        <v>2013</v>
      </c>
      <c r="B1643" t="s">
        <v>573</v>
      </c>
      <c r="C1643" t="s">
        <v>16</v>
      </c>
      <c r="D1643" t="s">
        <v>16</v>
      </c>
      <c r="E1643" t="s">
        <v>89</v>
      </c>
      <c r="F1643" t="s">
        <v>17</v>
      </c>
      <c r="G1643" t="s">
        <v>439</v>
      </c>
      <c r="H1643" t="s">
        <v>89</v>
      </c>
      <c r="I1643" t="s">
        <v>205</v>
      </c>
      <c r="J1643" t="s">
        <v>206</v>
      </c>
      <c r="K1643"/>
      <c r="L1643"/>
      <c r="M1643" s="12"/>
      <c r="N1643" s="12"/>
      <c r="O1643" s="12">
        <v>138</v>
      </c>
      <c r="P1643" s="12"/>
      <c r="Q1643" s="12"/>
      <c r="R1643" s="12"/>
      <c r="S1643" s="12"/>
      <c r="T1643" s="12"/>
      <c r="U1643" s="12"/>
      <c r="V1643" s="12"/>
      <c r="W1643" s="12"/>
      <c r="X1643" s="12"/>
      <c r="Y1643" s="12">
        <f t="shared" si="28"/>
        <v>138</v>
      </c>
    </row>
    <row r="1644" spans="1:25" ht="15">
      <c r="A1644">
        <v>2013</v>
      </c>
      <c r="B1644" t="s">
        <v>573</v>
      </c>
      <c r="C1644" t="s">
        <v>16</v>
      </c>
      <c r="D1644" t="s">
        <v>16</v>
      </c>
      <c r="E1644" t="s">
        <v>12</v>
      </c>
      <c r="F1644" t="s">
        <v>227</v>
      </c>
      <c r="G1644" t="s">
        <v>439</v>
      </c>
      <c r="H1644" t="s">
        <v>12</v>
      </c>
      <c r="I1644" t="s">
        <v>12</v>
      </c>
      <c r="J1644" t="s">
        <v>13</v>
      </c>
      <c r="K1644"/>
      <c r="L1644"/>
      <c r="M1644" s="12"/>
      <c r="N1644" s="12"/>
      <c r="O1644" s="12"/>
      <c r="P1644" s="12">
        <v>64.77</v>
      </c>
      <c r="Q1644" s="12"/>
      <c r="R1644" s="12"/>
      <c r="S1644" s="12">
        <v>64.62</v>
      </c>
      <c r="T1644" s="12">
        <v>54.62</v>
      </c>
      <c r="U1644" s="12"/>
      <c r="V1644" s="12"/>
      <c r="W1644" s="12"/>
      <c r="X1644" s="12"/>
      <c r="Y1644" s="12">
        <f t="shared" si="28"/>
        <v>184.01</v>
      </c>
    </row>
    <row r="1645" spans="1:25" ht="15">
      <c r="A1645">
        <v>2013</v>
      </c>
      <c r="B1645" t="s">
        <v>573</v>
      </c>
      <c r="C1645" t="s">
        <v>16</v>
      </c>
      <c r="D1645" t="s">
        <v>16</v>
      </c>
      <c r="E1645" t="s">
        <v>12</v>
      </c>
      <c r="F1645" t="s">
        <v>232</v>
      </c>
      <c r="G1645" t="s">
        <v>439</v>
      </c>
      <c r="H1645" t="s">
        <v>12</v>
      </c>
      <c r="I1645" t="s">
        <v>12</v>
      </c>
      <c r="J1645" t="s">
        <v>13</v>
      </c>
      <c r="K1645"/>
      <c r="L1645"/>
      <c r="M1645" s="12"/>
      <c r="N1645" s="12"/>
      <c r="O1645" s="12"/>
      <c r="P1645" s="12">
        <v>130.30000000000001</v>
      </c>
      <c r="Q1645" s="12"/>
      <c r="R1645" s="12"/>
      <c r="S1645" s="12">
        <v>152.47</v>
      </c>
      <c r="T1645" s="12">
        <v>210.77</v>
      </c>
      <c r="U1645" s="12"/>
      <c r="V1645" s="12"/>
      <c r="W1645" s="12"/>
      <c r="X1645" s="12"/>
      <c r="Y1645" s="12">
        <f t="shared" si="28"/>
        <v>493.53999999999996</v>
      </c>
    </row>
    <row r="1646" spans="1:25" ht="15">
      <c r="A1646">
        <v>2013</v>
      </c>
      <c r="B1646" t="s">
        <v>573</v>
      </c>
      <c r="C1646" t="s">
        <v>16</v>
      </c>
      <c r="D1646" t="s">
        <v>54</v>
      </c>
      <c r="E1646" t="s">
        <v>55</v>
      </c>
      <c r="F1646" t="s">
        <v>53</v>
      </c>
      <c r="G1646" t="s">
        <v>439</v>
      </c>
      <c r="H1646" t="s">
        <v>54</v>
      </c>
      <c r="I1646" t="s">
        <v>55</v>
      </c>
      <c r="J1646" t="s">
        <v>56</v>
      </c>
      <c r="K1646"/>
      <c r="L1646"/>
      <c r="M1646" s="12">
        <v>100</v>
      </c>
      <c r="N1646" s="12">
        <v>116.22</v>
      </c>
      <c r="O1646" s="12">
        <v>200</v>
      </c>
      <c r="P1646" s="12">
        <v>61.28</v>
      </c>
      <c r="Q1646" s="12">
        <v>93.96</v>
      </c>
      <c r="R1646" s="12">
        <v>100</v>
      </c>
      <c r="S1646" s="12">
        <v>99.55</v>
      </c>
      <c r="T1646" s="12">
        <v>100</v>
      </c>
      <c r="U1646" s="12">
        <v>98.79</v>
      </c>
      <c r="V1646" s="12">
        <v>97.91</v>
      </c>
      <c r="W1646" s="12">
        <v>100</v>
      </c>
      <c r="X1646" s="12">
        <v>100</v>
      </c>
      <c r="Y1646" s="12">
        <f t="shared" si="28"/>
        <v>1267.71</v>
      </c>
    </row>
    <row r="1647" spans="1:25" ht="15">
      <c r="A1647">
        <v>2013</v>
      </c>
      <c r="B1647" t="s">
        <v>573</v>
      </c>
      <c r="C1647" t="s">
        <v>16</v>
      </c>
      <c r="D1647" t="s">
        <v>54</v>
      </c>
      <c r="E1647" t="s">
        <v>55</v>
      </c>
      <c r="F1647" t="s">
        <v>229</v>
      </c>
      <c r="G1647" t="s">
        <v>439</v>
      </c>
      <c r="H1647" t="s">
        <v>54</v>
      </c>
      <c r="I1647" t="s">
        <v>55</v>
      </c>
      <c r="J1647" t="s">
        <v>86</v>
      </c>
      <c r="K1647"/>
      <c r="L1647"/>
      <c r="M1647" s="12"/>
      <c r="N1647" s="12">
        <v>222.01</v>
      </c>
      <c r="O1647" s="12"/>
      <c r="P1647" s="12">
        <v>46.2</v>
      </c>
      <c r="Q1647" s="12"/>
      <c r="R1647" s="12"/>
      <c r="S1647" s="12"/>
      <c r="T1647" s="12"/>
      <c r="U1647" s="12">
        <v>119.51</v>
      </c>
      <c r="V1647" s="12">
        <v>1219.54</v>
      </c>
      <c r="W1647" s="12">
        <v>300</v>
      </c>
      <c r="X1647" s="12">
        <v>300</v>
      </c>
      <c r="Y1647" s="12">
        <f t="shared" si="28"/>
        <v>2207.2600000000002</v>
      </c>
    </row>
    <row r="1648" spans="1:25" ht="15">
      <c r="A1648">
        <v>2013</v>
      </c>
      <c r="B1648" t="s">
        <v>573</v>
      </c>
      <c r="C1648" t="s">
        <v>16</v>
      </c>
      <c r="D1648" t="s">
        <v>54</v>
      </c>
      <c r="E1648" t="s">
        <v>55</v>
      </c>
      <c r="F1648" t="s">
        <v>230</v>
      </c>
      <c r="G1648" t="s">
        <v>439</v>
      </c>
      <c r="H1648" t="s">
        <v>54</v>
      </c>
      <c r="I1648" t="s">
        <v>55</v>
      </c>
      <c r="J1648" t="s">
        <v>86</v>
      </c>
      <c r="K1648"/>
      <c r="L1648"/>
      <c r="M1648" s="12">
        <v>231.83</v>
      </c>
      <c r="N1648" s="12">
        <v>205.08</v>
      </c>
      <c r="O1648" s="12">
        <v>47.2</v>
      </c>
      <c r="P1648" s="12"/>
      <c r="Q1648" s="12">
        <v>21</v>
      </c>
      <c r="R1648" s="12">
        <v>150</v>
      </c>
      <c r="S1648" s="12">
        <v>395.1</v>
      </c>
      <c r="T1648" s="12"/>
      <c r="U1648" s="12">
        <v>248.78</v>
      </c>
      <c r="V1648" s="12">
        <v>844.29</v>
      </c>
      <c r="W1648" s="12">
        <v>350</v>
      </c>
      <c r="X1648" s="12">
        <v>350</v>
      </c>
      <c r="Y1648" s="12">
        <f t="shared" si="28"/>
        <v>2843.2799999999997</v>
      </c>
    </row>
    <row r="1649" spans="1:25" ht="15">
      <c r="A1649">
        <v>2013</v>
      </c>
      <c r="B1649" t="s">
        <v>573</v>
      </c>
      <c r="C1649" t="s">
        <v>453</v>
      </c>
      <c r="D1649" t="s">
        <v>453</v>
      </c>
      <c r="E1649" t="s">
        <v>453</v>
      </c>
      <c r="F1649" t="s">
        <v>453</v>
      </c>
      <c r="G1649" t="s">
        <v>439</v>
      </c>
      <c r="H1649" t="s">
        <v>453</v>
      </c>
      <c r="I1649" t="s">
        <v>453</v>
      </c>
      <c r="J1649" t="s">
        <v>453</v>
      </c>
      <c r="K1649"/>
      <c r="L1649"/>
      <c r="M1649" s="12">
        <v>487243.51799999998</v>
      </c>
      <c r="N1649" s="12">
        <v>708172.06</v>
      </c>
      <c r="O1649" s="12">
        <v>1002162.709</v>
      </c>
      <c r="P1649" s="12">
        <v>1410710.9180000001</v>
      </c>
      <c r="Q1649" s="12">
        <v>1561496.62</v>
      </c>
      <c r="R1649" s="12">
        <v>1446657.2279999999</v>
      </c>
      <c r="S1649" s="12">
        <v>1218011.3910000001</v>
      </c>
      <c r="T1649" s="12">
        <v>1114326.8729999999</v>
      </c>
      <c r="U1649" s="12">
        <v>603401.20499999996</v>
      </c>
      <c r="V1649" s="12">
        <v>490328.13</v>
      </c>
      <c r="W1649" s="12">
        <v>671950.34870623762</v>
      </c>
      <c r="X1649" s="12">
        <v>584789.76343724772</v>
      </c>
      <c r="Y1649" s="12">
        <f>SUM(M1649:X1649)</f>
        <v>11299250.764143486</v>
      </c>
    </row>
    <row r="1650" spans="1:25" ht="15">
      <c r="A1650">
        <v>2013</v>
      </c>
      <c r="B1650" t="s">
        <v>447</v>
      </c>
      <c r="C1650" t="s">
        <v>447</v>
      </c>
      <c r="D1650" t="s">
        <v>447</v>
      </c>
      <c r="E1650" t="s">
        <v>447</v>
      </c>
      <c r="F1650" t="s">
        <v>447</v>
      </c>
      <c r="G1650" t="s">
        <v>439</v>
      </c>
      <c r="H1650" t="s">
        <v>447</v>
      </c>
      <c r="I1650" t="s">
        <v>447</v>
      </c>
      <c r="J1650" t="s">
        <v>447</v>
      </c>
      <c r="K1650"/>
      <c r="L1650"/>
      <c r="M1650" s="12">
        <v>1311467.1799999992</v>
      </c>
      <c r="N1650" s="12">
        <v>7423216.2300000004</v>
      </c>
      <c r="O1650" s="12">
        <v>3995050.92</v>
      </c>
      <c r="P1650" s="12">
        <v>731980.19</v>
      </c>
      <c r="Q1650" s="12">
        <v>688304.64999999991</v>
      </c>
      <c r="R1650" s="12">
        <v>1010490.0899999999</v>
      </c>
      <c r="S1650" s="12">
        <v>3571092</v>
      </c>
      <c r="T1650" s="12">
        <v>275206.03999999998</v>
      </c>
      <c r="U1650" s="12">
        <v>527371.45000000007</v>
      </c>
      <c r="V1650" s="12">
        <v>318635.08999999997</v>
      </c>
      <c r="W1650" s="12">
        <v>101587.45435466945</v>
      </c>
      <c r="X1650" s="12">
        <v>89334.680587618044</v>
      </c>
      <c r="Y1650" s="12">
        <f>SUM(M1650:X1650)</f>
        <v>20043735.974942286</v>
      </c>
    </row>
    <row r="1651" spans="1:25" ht="15">
      <c r="A1651">
        <v>2013</v>
      </c>
      <c r="B1651" t="s">
        <v>293</v>
      </c>
      <c r="C1651" t="s">
        <v>293</v>
      </c>
      <c r="D1651" t="s">
        <v>293</v>
      </c>
      <c r="E1651" t="s">
        <v>293</v>
      </c>
      <c r="F1651" t="s">
        <v>227</v>
      </c>
      <c r="G1651" t="s">
        <v>439</v>
      </c>
      <c r="H1651" t="s">
        <v>293</v>
      </c>
      <c r="I1651" t="s">
        <v>293</v>
      </c>
      <c r="J1651" t="s">
        <v>293</v>
      </c>
      <c r="K1651"/>
      <c r="L1651"/>
      <c r="M1651" s="12">
        <v>1275646.8800000001</v>
      </c>
      <c r="N1651" s="12">
        <v>6456475.1592454575</v>
      </c>
      <c r="O1651" s="12">
        <v>3806220.7</v>
      </c>
      <c r="P1651" s="12">
        <v>548556.05000000005</v>
      </c>
      <c r="Q1651" s="12">
        <v>502148.83</v>
      </c>
      <c r="R1651" s="12">
        <v>1064292.04</v>
      </c>
      <c r="S1651" s="12">
        <v>3609863.14</v>
      </c>
      <c r="T1651" s="12">
        <v>339283.61</v>
      </c>
      <c r="U1651" s="12">
        <v>262534.59000000003</v>
      </c>
      <c r="V1651" s="12">
        <v>215061.89</v>
      </c>
      <c r="W1651" s="12">
        <v>70649.456892111004</v>
      </c>
      <c r="X1651" s="12">
        <v>68219.21063054468</v>
      </c>
      <c r="Y1651" s="12">
        <f t="shared" si="28"/>
        <v>18218951.556768112</v>
      </c>
    </row>
    <row r="1652" spans="1:25" ht="15">
      <c r="A1652">
        <v>2013</v>
      </c>
      <c r="B1652" t="s">
        <v>574</v>
      </c>
      <c r="C1652" t="s">
        <v>292</v>
      </c>
      <c r="D1652" t="s">
        <v>292</v>
      </c>
      <c r="E1652" t="s">
        <v>292</v>
      </c>
      <c r="F1652" t="s">
        <v>227</v>
      </c>
      <c r="G1652" t="s">
        <v>439</v>
      </c>
      <c r="H1652" t="s">
        <v>292</v>
      </c>
      <c r="I1652" t="s">
        <v>292</v>
      </c>
      <c r="J1652" t="s">
        <v>292</v>
      </c>
      <c r="K1652"/>
      <c r="L1652"/>
      <c r="M1652" s="12">
        <v>5988786.8099999996</v>
      </c>
      <c r="N1652" s="12">
        <v>7408589.5499999998</v>
      </c>
      <c r="O1652" s="12">
        <v>7379782.5700000003</v>
      </c>
      <c r="P1652" s="12">
        <v>11767091.77</v>
      </c>
      <c r="Q1652" s="12">
        <v>22387196.41</v>
      </c>
      <c r="R1652" s="12">
        <v>24972054.539999999</v>
      </c>
      <c r="S1652" s="12">
        <v>20087235.77</v>
      </c>
      <c r="T1652" s="12">
        <v>15561359.439999999</v>
      </c>
      <c r="U1652" s="12">
        <v>6717843.7300000004</v>
      </c>
      <c r="V1652" s="12">
        <v>5626623.04</v>
      </c>
      <c r="W1652" s="12">
        <v>7206498.3350521615</v>
      </c>
      <c r="X1652" s="12">
        <v>6835845.8725778703</v>
      </c>
      <c r="Y1652" s="12">
        <f t="shared" si="28"/>
        <v>141938907.83763003</v>
      </c>
    </row>
    <row r="1653" spans="1:25" ht="15">
      <c r="A1653">
        <v>2013</v>
      </c>
      <c r="B1653" t="s">
        <v>574</v>
      </c>
      <c r="C1653" t="s">
        <v>575</v>
      </c>
      <c r="D1653" t="s">
        <v>575</v>
      </c>
      <c r="E1653" t="s">
        <v>575</v>
      </c>
      <c r="F1653" t="s">
        <v>575</v>
      </c>
      <c r="G1653" t="s">
        <v>245</v>
      </c>
      <c r="H1653" t="s">
        <v>575</v>
      </c>
      <c r="I1653" t="s">
        <v>575</v>
      </c>
      <c r="J1653" t="s">
        <v>575</v>
      </c>
      <c r="K1653"/>
      <c r="L1653"/>
      <c r="M1653" s="12">
        <v>1287916.1802150384</v>
      </c>
      <c r="N1653" s="12">
        <v>1893835.715962179</v>
      </c>
      <c r="O1653" s="12">
        <v>1833823.2755877785</v>
      </c>
      <c r="P1653" s="12">
        <v>3958654.9169897065</v>
      </c>
      <c r="Q1653" s="12">
        <v>8863479.307791695</v>
      </c>
      <c r="R1653" s="12">
        <v>8710987.5959610194</v>
      </c>
      <c r="S1653" s="12">
        <v>7662737.3546950296</v>
      </c>
      <c r="T1653" s="12">
        <v>5273115.2648480535</v>
      </c>
      <c r="U1653" s="12">
        <v>1385246.0337013938</v>
      </c>
      <c r="V1653" s="12">
        <v>1174960.6631976608</v>
      </c>
      <c r="W1653" s="12">
        <v>1165799.1039995253</v>
      </c>
      <c r="X1653" s="12">
        <v>995019.1906185504</v>
      </c>
      <c r="Y1653" s="12">
        <f t="shared" si="28"/>
        <v>44205574.60356763</v>
      </c>
    </row>
    <row r="1656" spans="1:25" ht="15">
      <c r="X1656" s="12"/>
    </row>
  </sheetData>
  <autoFilter ref="A1:Y1653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84"/>
  <sheetViews>
    <sheetView showGridLines="0" zoomScale="70" zoomScaleNormal="70" workbookViewId="0">
      <pane ySplit="5" topLeftCell="A31" activePane="bottomLeft" state="frozen"/>
      <selection pane="bottomLeft" activeCell="A31" sqref="A31"/>
    </sheetView>
  </sheetViews>
  <sheetFormatPr defaultRowHeight="15" outlineLevelRow="2" outlineLevelCol="1"/>
  <cols>
    <col min="1" max="1" width="57.5703125" style="72" customWidth="1"/>
    <col min="2" max="2" width="27.5703125" style="72" customWidth="1"/>
    <col min="3" max="3" width="28.42578125" customWidth="1"/>
    <col min="4" max="4" width="29.7109375" customWidth="1"/>
    <col min="5" max="5" width="28.85546875" customWidth="1"/>
    <col min="6" max="6" width="28.5703125" hidden="1" customWidth="1"/>
    <col min="7" max="7" width="25.85546875" hidden="1" customWidth="1" outlineLevel="1"/>
    <col min="8" max="8" width="26.140625" hidden="1" customWidth="1" outlineLevel="1"/>
    <col min="9" max="9" width="18.28515625" style="424" hidden="1" customWidth="1" outlineLevel="1"/>
    <col min="10" max="10" width="26.28515625" customWidth="1" collapsed="1"/>
    <col min="11" max="11" width="18.28515625" style="16" customWidth="1"/>
    <col min="12" max="12" width="14.5703125" customWidth="1"/>
    <col min="13" max="13" width="14.7109375" customWidth="1"/>
    <col min="14" max="14" width="20.7109375" customWidth="1"/>
    <col min="15" max="15" width="18" customWidth="1"/>
    <col min="17" max="17" width="15.42578125" bestFit="1" customWidth="1"/>
  </cols>
  <sheetData>
    <row r="1" spans="1:17" ht="31.5">
      <c r="A1" s="71" t="s">
        <v>509</v>
      </c>
      <c r="G1" s="421">
        <v>20695684.068281084</v>
      </c>
      <c r="I1" s="421" t="e">
        <f>C28-D28</f>
        <v>#REF!</v>
      </c>
      <c r="J1" s="20"/>
      <c r="K1" s="421"/>
      <c r="L1" s="12"/>
    </row>
    <row r="2" spans="1:17" ht="18" customHeight="1">
      <c r="A2" s="73"/>
      <c r="B2" s="203"/>
      <c r="C2" s="203"/>
      <c r="D2" s="203"/>
      <c r="E2" s="203"/>
      <c r="F2" s="203"/>
      <c r="G2" s="20"/>
      <c r="I2" s="166"/>
      <c r="J2" s="203"/>
      <c r="K2" s="166"/>
    </row>
    <row r="3" spans="1:17" ht="18" customHeight="1" thickBot="1">
      <c r="A3" s="73"/>
      <c r="B3" s="203"/>
      <c r="C3" s="203"/>
      <c r="D3" s="203"/>
      <c r="E3" s="203"/>
      <c r="F3" s="203"/>
      <c r="I3" s="166"/>
      <c r="J3" s="203"/>
      <c r="K3" s="166"/>
    </row>
    <row r="4" spans="1:17" ht="42.75" thickBot="1">
      <c r="A4" s="918" t="s">
        <v>459</v>
      </c>
      <c r="B4" s="21" t="s">
        <v>490</v>
      </c>
      <c r="C4" s="21" t="s">
        <v>491</v>
      </c>
      <c r="D4" s="21" t="s">
        <v>508</v>
      </c>
      <c r="E4" s="21" t="s">
        <v>489</v>
      </c>
      <c r="F4" s="156" t="s">
        <v>515</v>
      </c>
      <c r="G4" s="164" t="s">
        <v>514</v>
      </c>
      <c r="H4" s="435"/>
      <c r="I4" s="423"/>
      <c r="J4" s="897" t="s">
        <v>512</v>
      </c>
      <c r="K4" s="898"/>
      <c r="L4" s="897" t="s">
        <v>461</v>
      </c>
      <c r="M4" s="898"/>
      <c r="N4" s="23" t="s">
        <v>492</v>
      </c>
    </row>
    <row r="5" spans="1:17" ht="19.5" thickBot="1">
      <c r="A5" s="919"/>
      <c r="B5" s="74" t="s">
        <v>460</v>
      </c>
      <c r="C5" s="74" t="s">
        <v>460</v>
      </c>
      <c r="D5" s="74"/>
      <c r="E5" s="74"/>
      <c r="F5" s="74"/>
      <c r="G5" s="74"/>
      <c r="H5" s="74"/>
      <c r="I5" s="23" t="s">
        <v>493</v>
      </c>
      <c r="J5" s="74" t="s">
        <v>460</v>
      </c>
      <c r="K5" s="23" t="s">
        <v>493</v>
      </c>
      <c r="L5" s="74">
        <v>2013</v>
      </c>
      <c r="M5" s="23">
        <v>2014</v>
      </c>
      <c r="N5" s="23" t="s">
        <v>493</v>
      </c>
    </row>
    <row r="6" spans="1:17" ht="15.75">
      <c r="A6" s="24" t="s">
        <v>494</v>
      </c>
      <c r="B6" s="75">
        <v>10009022.031347707</v>
      </c>
      <c r="C6" s="75">
        <v>10385325.192000004</v>
      </c>
      <c r="D6" s="75">
        <v>11193467.927960608</v>
      </c>
      <c r="E6" s="75" t="e">
        <f>VLOOKUP($A6,#REF!,105,0)</f>
        <v>#REF!</v>
      </c>
      <c r="F6" s="75" t="e">
        <f>VLOOKUP(A6,'P&amp;L Monthly'!$A$6:$AA$14,33,0)</f>
        <v>#REF!</v>
      </c>
      <c r="G6" s="75" t="e">
        <f>E6</f>
        <v>#REF!</v>
      </c>
      <c r="H6" s="75" t="e">
        <f>D6-G6</f>
        <v>#REF!</v>
      </c>
      <c r="I6" s="76" t="e">
        <f>G6/D6-1</f>
        <v>#REF!</v>
      </c>
      <c r="J6" s="75" t="e">
        <f>E6-D6</f>
        <v>#REF!</v>
      </c>
      <c r="K6" s="76" t="e">
        <f>E6/D6-1</f>
        <v>#REF!</v>
      </c>
      <c r="L6" s="77">
        <v>0</v>
      </c>
      <c r="M6" s="78"/>
      <c r="N6" s="79">
        <f>M6-L6</f>
        <v>0</v>
      </c>
    </row>
    <row r="7" spans="1:17" s="29" customFormat="1" ht="21">
      <c r="A7" s="80" t="s">
        <v>449</v>
      </c>
      <c r="B7" s="323">
        <v>299196446.73000056</v>
      </c>
      <c r="C7" s="323">
        <v>314409201.13416696</v>
      </c>
      <c r="D7" s="323">
        <f>D8+D9</f>
        <v>370638523.10101736</v>
      </c>
      <c r="E7" s="81" t="e">
        <f>SUM(E8:E9)</f>
        <v>#REF!</v>
      </c>
      <c r="F7" s="81" t="e">
        <f>#REF!</f>
        <v>#REF!</v>
      </c>
      <c r="G7" s="161" t="e">
        <f>E7</f>
        <v>#REF!</v>
      </c>
      <c r="H7" s="426" t="e">
        <f t="shared" ref="H7:H60" si="0">D7-G7</f>
        <v>#REF!</v>
      </c>
      <c r="I7" s="83" t="e">
        <f t="shared" ref="I7:I60" si="1">G7/D7-1</f>
        <v>#REF!</v>
      </c>
      <c r="J7" s="82" t="e">
        <f t="shared" ref="J7:J60" si="2">E7-D7</f>
        <v>#REF!</v>
      </c>
      <c r="K7" s="83" t="e">
        <f t="shared" ref="K7:K60" si="3">E7/D7-1</f>
        <v>#REF!</v>
      </c>
      <c r="L7" s="84">
        <v>1</v>
      </c>
      <c r="M7" s="85">
        <v>1</v>
      </c>
      <c r="N7" s="85">
        <f>M7-L7</f>
        <v>0</v>
      </c>
    </row>
    <row r="8" spans="1:17" s="29" customFormat="1" ht="16.5" hidden="1" customHeight="1" outlineLevel="1">
      <c r="A8" s="263" t="s">
        <v>450</v>
      </c>
      <c r="B8" s="265">
        <v>147989901.32999974</v>
      </c>
      <c r="C8" s="265">
        <v>164420258.98416707</v>
      </c>
      <c r="D8" s="265">
        <v>187872903.09149846</v>
      </c>
      <c r="E8" s="264" t="e">
        <f>#REF!</f>
        <v>#REF!</v>
      </c>
      <c r="F8" s="265" t="e">
        <f>#REF!</f>
        <v>#REF!</v>
      </c>
      <c r="G8" s="263"/>
      <c r="H8" s="427">
        <f t="shared" si="0"/>
        <v>187872903.09149846</v>
      </c>
      <c r="I8" s="269">
        <f t="shared" si="1"/>
        <v>-1</v>
      </c>
      <c r="J8" s="266" t="e">
        <f t="shared" si="2"/>
        <v>#REF!</v>
      </c>
      <c r="K8" s="269" t="e">
        <f t="shared" si="3"/>
        <v>#REF!</v>
      </c>
      <c r="L8" s="263"/>
      <c r="M8" s="267"/>
      <c r="N8" s="268"/>
    </row>
    <row r="9" spans="1:17" s="29" customFormat="1" ht="16.5" hidden="1" customHeight="1" outlineLevel="1">
      <c r="A9" s="263" t="s">
        <v>451</v>
      </c>
      <c r="B9" s="265">
        <v>151206545.40000081</v>
      </c>
      <c r="C9" s="265">
        <v>149988942.14999986</v>
      </c>
      <c r="D9" s="265">
        <v>182765620.00951886</v>
      </c>
      <c r="E9" s="264" t="e">
        <f>#REF!</f>
        <v>#REF!</v>
      </c>
      <c r="F9" s="265" t="e">
        <f>#REF!</f>
        <v>#REF!</v>
      </c>
      <c r="G9" s="263"/>
      <c r="H9" s="427">
        <f t="shared" si="0"/>
        <v>182765620.00951886</v>
      </c>
      <c r="I9" s="269">
        <f t="shared" si="1"/>
        <v>-1</v>
      </c>
      <c r="J9" s="266" t="e">
        <f t="shared" si="2"/>
        <v>#REF!</v>
      </c>
      <c r="K9" s="269" t="e">
        <f t="shared" si="3"/>
        <v>#REF!</v>
      </c>
      <c r="L9" s="263"/>
      <c r="M9" s="267"/>
      <c r="N9" s="268"/>
    </row>
    <row r="10" spans="1:17" s="29" customFormat="1" ht="21" collapsed="1">
      <c r="A10" s="80" t="s">
        <v>495</v>
      </c>
      <c r="B10" s="86">
        <f>B13/B7</f>
        <v>0.40096500443999783</v>
      </c>
      <c r="C10" s="86">
        <v>0.37875134060996535</v>
      </c>
      <c r="D10" s="86" t="e">
        <f>D13/D7</f>
        <v>#REF!</v>
      </c>
      <c r="E10" s="86" t="e">
        <f>E13/E7</f>
        <v>#REF!</v>
      </c>
      <c r="F10" s="86" t="e">
        <f>F13/F7</f>
        <v>#REF!</v>
      </c>
      <c r="G10" s="86" t="e">
        <f>G13/G7</f>
        <v>#REF!</v>
      </c>
      <c r="H10" s="428" t="e">
        <f t="shared" si="0"/>
        <v>#REF!</v>
      </c>
      <c r="I10" s="83" t="e">
        <f t="shared" si="1"/>
        <v>#REF!</v>
      </c>
      <c r="J10" s="82" t="e">
        <f t="shared" si="2"/>
        <v>#REF!</v>
      </c>
      <c r="K10" s="83" t="e">
        <f t="shared" si="3"/>
        <v>#REF!</v>
      </c>
      <c r="L10" s="84"/>
      <c r="M10" s="85"/>
      <c r="N10" s="85"/>
    </row>
    <row r="11" spans="1:17" ht="30" customHeight="1">
      <c r="A11" s="87" t="s">
        <v>448</v>
      </c>
      <c r="B11" s="88">
        <v>281201551.94999999</v>
      </c>
      <c r="C11" s="88">
        <v>284293666.97000003</v>
      </c>
      <c r="D11" s="82" t="e">
        <f>VLOOKUP($A11,#REF!,103,0)</f>
        <v>#REF!</v>
      </c>
      <c r="E11" s="82" t="e">
        <f>VLOOKUP($A11,#REF!,105,0)</f>
        <v>#REF!</v>
      </c>
      <c r="F11" s="154" t="e">
        <f>VLOOKUP(A11,'P&amp;L Monthly'!$A$6:$AA$14,33,0)</f>
        <v>#REF!</v>
      </c>
      <c r="G11" s="436" t="e">
        <f>E11+G3</f>
        <v>#REF!</v>
      </c>
      <c r="H11" s="429" t="e">
        <f t="shared" si="0"/>
        <v>#REF!</v>
      </c>
      <c r="I11" s="83" t="e">
        <f t="shared" si="1"/>
        <v>#REF!</v>
      </c>
      <c r="J11" s="82" t="e">
        <f t="shared" si="2"/>
        <v>#REF!</v>
      </c>
      <c r="K11" s="83" t="e">
        <f t="shared" si="3"/>
        <v>#REF!</v>
      </c>
      <c r="L11" s="89">
        <v>1</v>
      </c>
      <c r="M11" s="90">
        <v>1</v>
      </c>
      <c r="N11" s="91">
        <f>M11-L11</f>
        <v>0</v>
      </c>
    </row>
    <row r="12" spans="1:17" ht="21">
      <c r="A12" s="92" t="s">
        <v>462</v>
      </c>
      <c r="B12" s="93">
        <f>17689620.97+305274</f>
        <v>17994894.969999999</v>
      </c>
      <c r="C12" s="93">
        <f>29425541.2541667+689993</f>
        <v>30115534.2541667</v>
      </c>
      <c r="D12" s="93" t="e">
        <f>D7-D11</f>
        <v>#REF!</v>
      </c>
      <c r="E12" s="93" t="e">
        <f>VLOOKUP($A12,#REF!,105,0)</f>
        <v>#REF!</v>
      </c>
      <c r="F12" s="93" t="e">
        <f>VLOOKUP(A12,'P&amp;L Monthly'!$A$6:$AA$14,33,0)</f>
        <v>#REF!</v>
      </c>
      <c r="G12" s="437" t="e">
        <f>E12</f>
        <v>#REF!</v>
      </c>
      <c r="H12" s="93" t="e">
        <f t="shared" si="0"/>
        <v>#REF!</v>
      </c>
      <c r="I12" s="83" t="e">
        <f t="shared" si="1"/>
        <v>#REF!</v>
      </c>
      <c r="J12" s="82" t="e">
        <f t="shared" si="2"/>
        <v>#REF!</v>
      </c>
      <c r="K12" s="83" t="e">
        <f t="shared" si="3"/>
        <v>#REF!</v>
      </c>
      <c r="L12" s="89"/>
      <c r="M12" s="90"/>
      <c r="N12" s="91">
        <f>M12-L12</f>
        <v>0</v>
      </c>
      <c r="Q12" s="20"/>
    </row>
    <row r="13" spans="1:17" ht="21">
      <c r="A13" s="87" t="s">
        <v>292</v>
      </c>
      <c r="B13" s="82">
        <v>119967304.59152626</v>
      </c>
      <c r="C13" s="82">
        <v>118821570.69</v>
      </c>
      <c r="D13" s="82" t="e">
        <f>VLOOKUP($A13,#REF!,103,0)</f>
        <v>#REF!</v>
      </c>
      <c r="E13" s="82" t="e">
        <f>VLOOKUP($A13,#REF!,105,0)</f>
        <v>#REF!</v>
      </c>
      <c r="F13" s="82" t="e">
        <f>VLOOKUP(A13,'P&amp;L Monthly'!$A$6:$AA$14,33,0)</f>
        <v>#REF!</v>
      </c>
      <c r="G13" s="162" t="e">
        <f>E13</f>
        <v>#REF!</v>
      </c>
      <c r="H13" s="429" t="e">
        <f t="shared" si="0"/>
        <v>#REF!</v>
      </c>
      <c r="I13" s="83" t="e">
        <f t="shared" si="1"/>
        <v>#REF!</v>
      </c>
      <c r="J13" s="82" t="e">
        <f t="shared" si="2"/>
        <v>#REF!</v>
      </c>
      <c r="K13" s="83" t="e">
        <f t="shared" si="3"/>
        <v>#REF!</v>
      </c>
      <c r="L13" s="89" t="e">
        <f>D13/D11</f>
        <v>#REF!</v>
      </c>
      <c r="M13" s="90" t="e">
        <f>E13/E11</f>
        <v>#REF!</v>
      </c>
      <c r="N13" s="91" t="e">
        <f>M13-L13</f>
        <v>#REF!</v>
      </c>
    </row>
    <row r="14" spans="1:17" ht="21.75" thickBot="1">
      <c r="A14" s="69" t="s">
        <v>464</v>
      </c>
      <c r="B14" s="94">
        <f>B11-B13</f>
        <v>161234247.35847372</v>
      </c>
      <c r="C14" s="94">
        <v>165472096.28000003</v>
      </c>
      <c r="D14" s="94" t="e">
        <f>D11-D13</f>
        <v>#REF!</v>
      </c>
      <c r="E14" s="94" t="e">
        <f>E11-E13</f>
        <v>#REF!</v>
      </c>
      <c r="F14" s="94" t="e">
        <f>F11-F13</f>
        <v>#REF!</v>
      </c>
      <c r="G14" s="94" t="e">
        <f>G11-G13</f>
        <v>#REF!</v>
      </c>
      <c r="H14" s="430" t="e">
        <f t="shared" si="0"/>
        <v>#REF!</v>
      </c>
      <c r="I14" s="95" t="e">
        <f t="shared" si="1"/>
        <v>#REF!</v>
      </c>
      <c r="J14" s="42" t="e">
        <f t="shared" si="2"/>
        <v>#REF!</v>
      </c>
      <c r="K14" s="95" t="e">
        <f t="shared" si="3"/>
        <v>#REF!</v>
      </c>
      <c r="L14" s="96" t="e">
        <f>D14/D11</f>
        <v>#REF!</v>
      </c>
      <c r="M14" s="43" t="e">
        <f>E14/E11</f>
        <v>#REF!</v>
      </c>
      <c r="N14" s="97" t="e">
        <f>M14-L14</f>
        <v>#REF!</v>
      </c>
    </row>
    <row r="15" spans="1:17" ht="21.75" thickBot="1">
      <c r="A15" s="68" t="s">
        <v>496</v>
      </c>
      <c r="B15" s="98">
        <f>SUM(B16,B28:B44)</f>
        <v>110756780.34913749</v>
      </c>
      <c r="C15" s="98">
        <v>115484155.33999999</v>
      </c>
      <c r="D15" s="98" t="e">
        <f>SUM(D18:D20,D22:D26,D28:D44)</f>
        <v>#REF!</v>
      </c>
      <c r="E15" s="98" t="e">
        <f>SUM(E18:E20,E22:E26,E28:E45)</f>
        <v>#REF!</v>
      </c>
      <c r="F15" s="98" t="e">
        <f>SUM(F18:F20,F22:F26,F28:F45)</f>
        <v>#REF!</v>
      </c>
      <c r="G15" s="98" t="e">
        <f>SUM(G18:G20,G22:G26,G28:G44)</f>
        <v>#REF!</v>
      </c>
      <c r="H15" s="39" t="e">
        <f t="shared" si="0"/>
        <v>#REF!</v>
      </c>
      <c r="I15" s="434" t="e">
        <f>G15/D15-1</f>
        <v>#REF!</v>
      </c>
      <c r="J15" s="39" t="e">
        <f t="shared" si="2"/>
        <v>#REF!</v>
      </c>
      <c r="K15" s="99" t="e">
        <f t="shared" si="3"/>
        <v>#REF!</v>
      </c>
      <c r="L15" s="100" t="e">
        <f>D15/D11</f>
        <v>#REF!</v>
      </c>
      <c r="M15" s="40" t="e">
        <f>E15/E11</f>
        <v>#REF!</v>
      </c>
      <c r="N15" s="40" t="e">
        <f>M15-L15</f>
        <v>#REF!</v>
      </c>
    </row>
    <row r="16" spans="1:17" s="66" customFormat="1" ht="15.75">
      <c r="A16" s="101" t="s">
        <v>497</v>
      </c>
      <c r="B16" s="102">
        <f>B17+B21</f>
        <v>10489880.610000001</v>
      </c>
      <c r="C16" s="102">
        <v>14245999.190000001</v>
      </c>
      <c r="D16" s="102" t="e">
        <f>D17+D21</f>
        <v>#REF!</v>
      </c>
      <c r="E16" s="102" t="e">
        <f>E17+E21</f>
        <v>#REF!</v>
      </c>
      <c r="F16" s="158" t="e">
        <f>F17+F21</f>
        <v>#REF!</v>
      </c>
      <c r="G16" s="158" t="e">
        <f>G17+G21</f>
        <v>#REF!</v>
      </c>
      <c r="H16" s="431" t="e">
        <f t="shared" si="0"/>
        <v>#REF!</v>
      </c>
      <c r="I16" s="103" t="e">
        <f t="shared" si="1"/>
        <v>#REF!</v>
      </c>
      <c r="J16" s="102" t="e">
        <f t="shared" si="2"/>
        <v>#REF!</v>
      </c>
      <c r="K16" s="103" t="e">
        <f t="shared" si="3"/>
        <v>#REF!</v>
      </c>
      <c r="L16" s="104" t="e">
        <f t="shared" ref="L16:L26" si="4">D16/$D$11</f>
        <v>#REF!</v>
      </c>
      <c r="M16" s="104" t="e">
        <f t="shared" ref="M16:M26" si="5">E16/$E$11</f>
        <v>#REF!</v>
      </c>
      <c r="N16" s="105" t="e">
        <f t="shared" ref="N16:N26" si="6">M16-L16</f>
        <v>#REF!</v>
      </c>
    </row>
    <row r="17" spans="1:15" s="72" customFormat="1" ht="15.75" outlineLevel="1">
      <c r="A17" s="106" t="s">
        <v>498</v>
      </c>
      <c r="B17" s="107">
        <f>SUM(B18:B20)</f>
        <v>851091.47</v>
      </c>
      <c r="C17" s="107">
        <v>1031193.46</v>
      </c>
      <c r="D17" s="107" t="e">
        <f>SUM(D18:D20)</f>
        <v>#REF!</v>
      </c>
      <c r="E17" s="107" t="e">
        <f>SUM(E18:E20)</f>
        <v>#REF!</v>
      </c>
      <c r="F17" s="159" t="e">
        <f>SUM(F18:F20)</f>
        <v>#REF!</v>
      </c>
      <c r="G17" s="159">
        <f>SUM(G18:G20)</f>
        <v>7038000</v>
      </c>
      <c r="H17" s="432" t="e">
        <f t="shared" si="0"/>
        <v>#REF!</v>
      </c>
      <c r="I17" s="108" t="e">
        <f t="shared" si="1"/>
        <v>#REF!</v>
      </c>
      <c r="J17" s="107" t="e">
        <f t="shared" si="2"/>
        <v>#REF!</v>
      </c>
      <c r="K17" s="108" t="e">
        <f t="shared" si="3"/>
        <v>#REF!</v>
      </c>
      <c r="L17" s="109" t="e">
        <f t="shared" si="4"/>
        <v>#REF!</v>
      </c>
      <c r="M17" s="109" t="e">
        <f t="shared" si="5"/>
        <v>#REF!</v>
      </c>
      <c r="N17" s="110" t="e">
        <f t="shared" si="6"/>
        <v>#REF!</v>
      </c>
    </row>
    <row r="18" spans="1:15" ht="15.75" outlineLevel="1">
      <c r="A18" s="47" t="s">
        <v>55</v>
      </c>
      <c r="B18" s="111">
        <v>656900.48</v>
      </c>
      <c r="C18" s="111">
        <v>453654.46</v>
      </c>
      <c r="D18" s="111" t="e">
        <f>SUMIF(#REF!,$A18,#REF!)</f>
        <v>#REF!</v>
      </c>
      <c r="E18" s="111" t="e">
        <f>SUMIF(#REF!,$A18,#REF!)</f>
        <v>#REF!</v>
      </c>
      <c r="F18" s="155" t="e">
        <f>SUMIF('P&amp;L Monthly'!$A$6:$A$97,A18,'P&amp;L Monthly'!#REF!)</f>
        <v>#REF!</v>
      </c>
      <c r="G18" s="163">
        <v>650000</v>
      </c>
      <c r="H18" s="433" t="e">
        <f t="shared" si="0"/>
        <v>#REF!</v>
      </c>
      <c r="I18" s="112" t="e">
        <f t="shared" si="1"/>
        <v>#REF!</v>
      </c>
      <c r="J18" s="111" t="e">
        <f t="shared" si="2"/>
        <v>#REF!</v>
      </c>
      <c r="K18" s="112" t="e">
        <f t="shared" si="3"/>
        <v>#REF!</v>
      </c>
      <c r="L18" s="113" t="e">
        <f t="shared" si="4"/>
        <v>#REF!</v>
      </c>
      <c r="M18" s="113" t="e">
        <f t="shared" si="5"/>
        <v>#REF!</v>
      </c>
      <c r="N18" s="114" t="e">
        <f t="shared" si="6"/>
        <v>#REF!</v>
      </c>
    </row>
    <row r="19" spans="1:15" ht="15.75" outlineLevel="1">
      <c r="A19" s="47" t="s">
        <v>412</v>
      </c>
      <c r="B19" s="111">
        <v>52000</v>
      </c>
      <c r="C19" s="111">
        <v>129515</v>
      </c>
      <c r="D19" s="111" t="e">
        <f>SUMIF(#REF!,$A19,#REF!)</f>
        <v>#REF!</v>
      </c>
      <c r="E19" s="111" t="e">
        <f>SUMIF(#REF!,$A19,#REF!)</f>
        <v>#REF!</v>
      </c>
      <c r="F19" s="206" t="e">
        <f>#REF!</f>
        <v>#REF!</v>
      </c>
      <c r="G19" s="165">
        <v>288000</v>
      </c>
      <c r="H19" s="431" t="e">
        <f t="shared" si="0"/>
        <v>#REF!</v>
      </c>
      <c r="I19" s="112" t="e">
        <f t="shared" si="1"/>
        <v>#REF!</v>
      </c>
      <c r="J19" s="111" t="e">
        <f t="shared" si="2"/>
        <v>#REF!</v>
      </c>
      <c r="K19" s="112" t="e">
        <f>E19/D19-1</f>
        <v>#REF!</v>
      </c>
      <c r="L19" s="113" t="e">
        <f t="shared" si="4"/>
        <v>#REF!</v>
      </c>
      <c r="M19" s="113" t="e">
        <f t="shared" si="5"/>
        <v>#REF!</v>
      </c>
      <c r="N19" s="114" t="e">
        <f t="shared" si="6"/>
        <v>#REF!</v>
      </c>
    </row>
    <row r="20" spans="1:15" ht="15.75" outlineLevel="1">
      <c r="A20" s="47" t="s">
        <v>79</v>
      </c>
      <c r="B20" s="111">
        <v>142190.99</v>
      </c>
      <c r="C20" s="111">
        <v>448024</v>
      </c>
      <c r="D20" s="111" t="e">
        <f>SUMIF(#REF!,$A20,#REF!)</f>
        <v>#REF!</v>
      </c>
      <c r="E20" s="111" t="e">
        <f>SUMIF(#REF!,$A20,#REF!)</f>
        <v>#REF!</v>
      </c>
      <c r="F20" s="111" t="e">
        <f>#REF!</f>
        <v>#REF!</v>
      </c>
      <c r="G20" s="165">
        <v>6100000</v>
      </c>
      <c r="H20" s="431" t="e">
        <f t="shared" si="0"/>
        <v>#REF!</v>
      </c>
      <c r="I20" s="112" t="e">
        <f t="shared" si="1"/>
        <v>#REF!</v>
      </c>
      <c r="J20" s="111" t="e">
        <f t="shared" si="2"/>
        <v>#REF!</v>
      </c>
      <c r="K20" s="112" t="e">
        <f t="shared" si="3"/>
        <v>#REF!</v>
      </c>
      <c r="L20" s="113" t="e">
        <f t="shared" si="4"/>
        <v>#REF!</v>
      </c>
      <c r="M20" s="113" t="e">
        <f t="shared" si="5"/>
        <v>#REF!</v>
      </c>
      <c r="N20" s="114" t="e">
        <f t="shared" si="6"/>
        <v>#REF!</v>
      </c>
    </row>
    <row r="21" spans="1:15" s="116" customFormat="1" ht="18.75" outlineLevel="1">
      <c r="A21" s="115" t="s">
        <v>499</v>
      </c>
      <c r="B21" s="107">
        <f>SUM(B22:B26)</f>
        <v>9638789.1400000006</v>
      </c>
      <c r="C21" s="107">
        <v>13214805.73</v>
      </c>
      <c r="D21" s="107" t="e">
        <f>SUM(D22:D26)</f>
        <v>#REF!</v>
      </c>
      <c r="E21" s="107" t="e">
        <f>SUM(E22:E26)</f>
        <v>#REF!</v>
      </c>
      <c r="F21" s="107" t="e">
        <f>SUM(F22:F26)</f>
        <v>#REF!</v>
      </c>
      <c r="G21" s="107" t="e">
        <f>SUM(G22:G26)</f>
        <v>#REF!</v>
      </c>
      <c r="H21" s="432" t="e">
        <f t="shared" si="0"/>
        <v>#REF!</v>
      </c>
      <c r="I21" s="108" t="e">
        <f t="shared" si="1"/>
        <v>#REF!</v>
      </c>
      <c r="J21" s="107" t="e">
        <f t="shared" si="2"/>
        <v>#REF!</v>
      </c>
      <c r="K21" s="108" t="e">
        <f t="shared" si="3"/>
        <v>#REF!</v>
      </c>
      <c r="L21" s="109" t="e">
        <f t="shared" si="4"/>
        <v>#REF!</v>
      </c>
      <c r="M21" s="109" t="e">
        <f t="shared" si="5"/>
        <v>#REF!</v>
      </c>
      <c r="N21" s="110" t="e">
        <f t="shared" si="6"/>
        <v>#REF!</v>
      </c>
    </row>
    <row r="22" spans="1:15" ht="15.75" outlineLevel="1">
      <c r="A22" s="47" t="s">
        <v>387</v>
      </c>
      <c r="B22" s="111">
        <v>761591.72</v>
      </c>
      <c r="C22" s="111">
        <v>481898.43</v>
      </c>
      <c r="D22" s="111" t="e">
        <f>SUMIF(#REF!,$A22,#REF!)</f>
        <v>#REF!</v>
      </c>
      <c r="E22" s="111" t="e">
        <f>SUMIF(#REF!,$A22,#REF!)</f>
        <v>#REF!</v>
      </c>
      <c r="F22" s="155" t="e">
        <f>SUMIF('P&amp;L Monthly'!$A$6:$A$97,A22,'P&amp;L Monthly'!#REF!)</f>
        <v>#REF!</v>
      </c>
      <c r="G22" s="155" t="e">
        <f>E22</f>
        <v>#REF!</v>
      </c>
      <c r="H22" s="433" t="e">
        <f t="shared" si="0"/>
        <v>#REF!</v>
      </c>
      <c r="I22" s="112" t="e">
        <f t="shared" si="1"/>
        <v>#REF!</v>
      </c>
      <c r="J22" s="111" t="e">
        <f t="shared" si="2"/>
        <v>#REF!</v>
      </c>
      <c r="K22" s="112" t="e">
        <f t="shared" si="3"/>
        <v>#REF!</v>
      </c>
      <c r="L22" s="113" t="e">
        <f t="shared" si="4"/>
        <v>#REF!</v>
      </c>
      <c r="M22" s="113" t="e">
        <f t="shared" si="5"/>
        <v>#REF!</v>
      </c>
      <c r="N22" s="114" t="e">
        <f t="shared" si="6"/>
        <v>#REF!</v>
      </c>
    </row>
    <row r="23" spans="1:15" ht="15.75" outlineLevel="1">
      <c r="A23" s="47" t="s">
        <v>388</v>
      </c>
      <c r="B23" s="111">
        <v>1222131.2</v>
      </c>
      <c r="C23" s="111">
        <v>164332</v>
      </c>
      <c r="D23" s="111" t="e">
        <f>SUMIF(#REF!,$A23,#REF!)</f>
        <v>#REF!</v>
      </c>
      <c r="E23" s="111" t="e">
        <f>SUMIF(#REF!,$A23,#REF!)</f>
        <v>#REF!</v>
      </c>
      <c r="F23" s="155" t="e">
        <f>SUMIF('P&amp;L Monthly'!$A$6:$A$97,A23,'P&amp;L Monthly'!#REF!)</f>
        <v>#REF!</v>
      </c>
      <c r="G23" s="155">
        <v>323000</v>
      </c>
      <c r="H23" s="433" t="e">
        <f t="shared" si="0"/>
        <v>#REF!</v>
      </c>
      <c r="I23" s="112" t="e">
        <f t="shared" si="1"/>
        <v>#REF!</v>
      </c>
      <c r="J23" s="111" t="e">
        <f t="shared" si="2"/>
        <v>#REF!</v>
      </c>
      <c r="K23" s="112" t="e">
        <f t="shared" si="3"/>
        <v>#REF!</v>
      </c>
      <c r="L23" s="113" t="e">
        <f t="shared" si="4"/>
        <v>#REF!</v>
      </c>
      <c r="M23" s="113" t="e">
        <f t="shared" si="5"/>
        <v>#REF!</v>
      </c>
      <c r="N23" s="114" t="e">
        <f>M23-L23</f>
        <v>#REF!</v>
      </c>
    </row>
    <row r="24" spans="1:15" ht="15.75" outlineLevel="1">
      <c r="A24" s="47" t="s">
        <v>338</v>
      </c>
      <c r="B24" s="111">
        <v>5777913.5800000001</v>
      </c>
      <c r="C24" s="111">
        <v>6142330.5300000003</v>
      </c>
      <c r="D24" s="111" t="e">
        <f>SUMIF(#REF!,$A24,#REF!)</f>
        <v>#REF!</v>
      </c>
      <c r="E24" s="111" t="e">
        <f>SUMIF(#REF!,$A24,#REF!)</f>
        <v>#REF!</v>
      </c>
      <c r="F24" s="155" t="e">
        <f>SUMIF('P&amp;L Monthly'!$A$6:$A$97,A24,'P&amp;L Monthly'!#REF!)</f>
        <v>#REF!</v>
      </c>
      <c r="G24" s="163" t="e">
        <f>E24</f>
        <v>#REF!</v>
      </c>
      <c r="H24" s="433" t="e">
        <f t="shared" si="0"/>
        <v>#REF!</v>
      </c>
      <c r="I24" s="112" t="e">
        <f t="shared" si="1"/>
        <v>#REF!</v>
      </c>
      <c r="J24" s="111" t="e">
        <f t="shared" si="2"/>
        <v>#REF!</v>
      </c>
      <c r="K24" s="112" t="e">
        <f t="shared" si="3"/>
        <v>#REF!</v>
      </c>
      <c r="L24" s="113" t="e">
        <f t="shared" si="4"/>
        <v>#REF!</v>
      </c>
      <c r="M24" s="113" t="e">
        <f t="shared" si="5"/>
        <v>#REF!</v>
      </c>
      <c r="N24" s="114" t="e">
        <f t="shared" si="6"/>
        <v>#REF!</v>
      </c>
    </row>
    <row r="25" spans="1:15" ht="15.75" outlineLevel="1">
      <c r="A25" s="117" t="s">
        <v>10</v>
      </c>
      <c r="B25" s="111">
        <v>971806.89</v>
      </c>
      <c r="C25" s="111">
        <v>3636891.0300000003</v>
      </c>
      <c r="D25" s="111" t="e">
        <f>SUMIF(#REF!,$A25,#REF!)</f>
        <v>#REF!</v>
      </c>
      <c r="E25" s="111" t="e">
        <f>SUMIF(#REF!,$A25,#REF!)</f>
        <v>#REF!</v>
      </c>
      <c r="F25" s="373" t="e">
        <f>SUMIF('P&amp;L Monthly'!$A$6:$A$97,A25,'P&amp;L Monthly'!#REF!)</f>
        <v>#REF!</v>
      </c>
      <c r="G25" s="165">
        <v>3140000</v>
      </c>
      <c r="H25" s="431" t="e">
        <f t="shared" si="0"/>
        <v>#REF!</v>
      </c>
      <c r="I25" s="112" t="e">
        <f t="shared" si="1"/>
        <v>#REF!</v>
      </c>
      <c r="J25" s="111" t="e">
        <f t="shared" si="2"/>
        <v>#REF!</v>
      </c>
      <c r="K25" s="112" t="e">
        <f t="shared" si="3"/>
        <v>#REF!</v>
      </c>
      <c r="L25" s="113" t="e">
        <f t="shared" si="4"/>
        <v>#REF!</v>
      </c>
      <c r="M25" s="113" t="e">
        <f t="shared" si="5"/>
        <v>#REF!</v>
      </c>
      <c r="N25" s="114" t="e">
        <f t="shared" si="6"/>
        <v>#REF!</v>
      </c>
      <c r="O25" s="20"/>
    </row>
    <row r="26" spans="1:15" ht="15.75" outlineLevel="1">
      <c r="A26" s="47" t="s">
        <v>67</v>
      </c>
      <c r="B26" s="111">
        <v>905345.75000000012</v>
      </c>
      <c r="C26" s="111">
        <v>2789353.74</v>
      </c>
      <c r="D26" s="111" t="e">
        <f>SUMIF(#REF!,$A26,#REF!)</f>
        <v>#REF!</v>
      </c>
      <c r="E26" s="111" t="e">
        <f>SUMIF(#REF!,$A26,#REF!)</f>
        <v>#REF!</v>
      </c>
      <c r="F26" s="155" t="e">
        <f>SUMIF('P&amp;L Monthly'!$A$6:$A$97,A26,'P&amp;L Monthly'!#REF!)</f>
        <v>#REF!</v>
      </c>
      <c r="G26" s="163" t="e">
        <f>E26</f>
        <v>#REF!</v>
      </c>
      <c r="H26" s="433" t="e">
        <f t="shared" si="0"/>
        <v>#REF!</v>
      </c>
      <c r="I26" s="112" t="e">
        <f t="shared" si="1"/>
        <v>#REF!</v>
      </c>
      <c r="J26" s="111" t="e">
        <f t="shared" si="2"/>
        <v>#REF!</v>
      </c>
      <c r="K26" s="112" t="e">
        <f t="shared" si="3"/>
        <v>#REF!</v>
      </c>
      <c r="L26" s="113" t="e">
        <f t="shared" si="4"/>
        <v>#REF!</v>
      </c>
      <c r="M26" s="113" t="e">
        <f t="shared" si="5"/>
        <v>#REF!</v>
      </c>
      <c r="N26" s="114" t="e">
        <f t="shared" si="6"/>
        <v>#REF!</v>
      </c>
    </row>
    <row r="27" spans="1:15" ht="7.5" customHeight="1" outlineLevel="1"/>
    <row r="28" spans="1:15" ht="15.75">
      <c r="A28" s="117" t="s">
        <v>148</v>
      </c>
      <c r="B28" s="111">
        <v>35678573.859999999</v>
      </c>
      <c r="C28" s="111">
        <v>33389521.200000003</v>
      </c>
      <c r="D28" s="111" t="e">
        <f>SUMIF(#REF!,$A28,#REF!)</f>
        <v>#REF!</v>
      </c>
      <c r="E28" s="111" t="e">
        <f>SUMIF(#REF!,$A28,#REF!)</f>
        <v>#REF!</v>
      </c>
      <c r="F28" s="205" t="e">
        <f>SUMIF('P&amp;L Monthly'!$A$6:$A$97,A28,'P&amp;L Monthly'!#REF!)</f>
        <v>#REF!</v>
      </c>
      <c r="G28" s="163" t="e">
        <f>D28+2000000</f>
        <v>#REF!</v>
      </c>
      <c r="H28" s="433" t="e">
        <f t="shared" si="0"/>
        <v>#REF!</v>
      </c>
      <c r="I28" s="112" t="e">
        <f t="shared" si="1"/>
        <v>#REF!</v>
      </c>
      <c r="J28" s="111" t="e">
        <f t="shared" si="2"/>
        <v>#REF!</v>
      </c>
      <c r="K28" s="112" t="e">
        <f t="shared" si="3"/>
        <v>#REF!</v>
      </c>
      <c r="L28" s="113" t="e">
        <f t="shared" ref="L28:L44" si="7">D28/$D$11</f>
        <v>#REF!</v>
      </c>
      <c r="M28" s="113" t="e">
        <f t="shared" ref="M28:M44" si="8">E28/$E$11</f>
        <v>#REF!</v>
      </c>
      <c r="N28" s="114" t="e">
        <f>M28-L28</f>
        <v>#REF!</v>
      </c>
    </row>
    <row r="29" spans="1:15" ht="15.75">
      <c r="A29" s="47" t="s">
        <v>149</v>
      </c>
      <c r="B29" s="111">
        <v>5056946.4391374998</v>
      </c>
      <c r="C29" s="111">
        <v>4818523.2700000005</v>
      </c>
      <c r="D29" s="111" t="e">
        <f>SUMIF(#REF!,$A29,#REF!)</f>
        <v>#REF!</v>
      </c>
      <c r="E29" s="111" t="e">
        <f>SUMIF(#REF!,$A29,#REF!)</f>
        <v>#REF!</v>
      </c>
      <c r="F29" s="205" t="e">
        <f>SUMIF('P&amp;L Monthly'!$A$6:$A$97,A29,'P&amp;L Monthly'!#REF!)</f>
        <v>#REF!</v>
      </c>
      <c r="G29" s="163">
        <v>5000000</v>
      </c>
      <c r="H29" s="433" t="e">
        <f t="shared" si="0"/>
        <v>#REF!</v>
      </c>
      <c r="I29" s="112" t="e">
        <f t="shared" si="1"/>
        <v>#REF!</v>
      </c>
      <c r="J29" s="111" t="e">
        <f t="shared" si="2"/>
        <v>#REF!</v>
      </c>
      <c r="K29" s="112" t="e">
        <f t="shared" si="3"/>
        <v>#REF!</v>
      </c>
      <c r="L29" s="113" t="e">
        <f t="shared" si="7"/>
        <v>#REF!</v>
      </c>
      <c r="M29" s="113" t="e">
        <f t="shared" si="8"/>
        <v>#REF!</v>
      </c>
      <c r="N29" s="114" t="e">
        <f>M29-L29</f>
        <v>#REF!</v>
      </c>
    </row>
    <row r="30" spans="1:15" ht="15.75">
      <c r="A30" s="117" t="s">
        <v>153</v>
      </c>
      <c r="B30" s="111">
        <v>17365757.739999998</v>
      </c>
      <c r="C30" s="111">
        <v>15713747.41</v>
      </c>
      <c r="D30" s="111" t="e">
        <f>SUMIF(#REF!,$A30,#REF!)</f>
        <v>#REF!</v>
      </c>
      <c r="E30" s="111" t="e">
        <f>SUMIF(#REF!,$A30,#REF!)</f>
        <v>#REF!</v>
      </c>
      <c r="F30" s="205" t="e">
        <f>SUMIF('P&amp;L Monthly'!$A$6:$A$97,A30,'P&amp;L Monthly'!#REF!)</f>
        <v>#REF!</v>
      </c>
      <c r="G30" s="163">
        <v>21000000</v>
      </c>
      <c r="H30" s="433" t="e">
        <f t="shared" si="0"/>
        <v>#REF!</v>
      </c>
      <c r="I30" s="112" t="e">
        <f t="shared" si="1"/>
        <v>#REF!</v>
      </c>
      <c r="J30" s="111" t="e">
        <f t="shared" si="2"/>
        <v>#REF!</v>
      </c>
      <c r="K30" s="112" t="e">
        <f t="shared" si="3"/>
        <v>#REF!</v>
      </c>
      <c r="L30" s="113" t="e">
        <f t="shared" si="7"/>
        <v>#REF!</v>
      </c>
      <c r="M30" s="113" t="e">
        <f t="shared" si="8"/>
        <v>#REF!</v>
      </c>
      <c r="N30" s="114">
        <v>-1.1416123514813595E-2</v>
      </c>
    </row>
    <row r="31" spans="1:15" ht="15.75">
      <c r="A31" s="117" t="s">
        <v>22</v>
      </c>
      <c r="B31" s="111">
        <v>15447110.960000003</v>
      </c>
      <c r="C31" s="111">
        <v>19811775.259999998</v>
      </c>
      <c r="D31" s="111" t="e">
        <f>SUMIF(#REF!,$A31,#REF!)</f>
        <v>#REF!</v>
      </c>
      <c r="E31" s="111" t="e">
        <f>SUMIF(#REF!,$A31,#REF!)</f>
        <v>#REF!</v>
      </c>
      <c r="F31" s="205" t="e">
        <f>SUMIF('P&amp;L Monthly'!$A$6:$A$97,A31,'P&amp;L Monthly'!#REF!)</f>
        <v>#REF!</v>
      </c>
      <c r="G31" s="163" t="e">
        <f t="shared" ref="G31:G41" si="9">E31</f>
        <v>#REF!</v>
      </c>
      <c r="H31" s="433" t="e">
        <f t="shared" si="0"/>
        <v>#REF!</v>
      </c>
      <c r="I31" s="112" t="e">
        <f t="shared" si="1"/>
        <v>#REF!</v>
      </c>
      <c r="J31" s="111" t="e">
        <f t="shared" si="2"/>
        <v>#REF!</v>
      </c>
      <c r="K31" s="112" t="e">
        <f t="shared" si="3"/>
        <v>#REF!</v>
      </c>
      <c r="L31" s="113" t="e">
        <f>D31/$D$11</f>
        <v>#REF!</v>
      </c>
      <c r="M31" s="113" t="e">
        <f>E31/$E$11</f>
        <v>#REF!</v>
      </c>
      <c r="N31" s="114" t="e">
        <f>M31-L31</f>
        <v>#REF!</v>
      </c>
    </row>
    <row r="32" spans="1:15" ht="15.75">
      <c r="A32" s="47" t="s">
        <v>20</v>
      </c>
      <c r="B32" s="111">
        <v>8483521.1899999995</v>
      </c>
      <c r="C32" s="111">
        <v>10247915.16</v>
      </c>
      <c r="D32" s="111" t="e">
        <f>SUMIF(#REF!,$A32,#REF!)</f>
        <v>#REF!</v>
      </c>
      <c r="E32" s="111" t="e">
        <f>SUMIF(#REF!,$A32,#REF!)</f>
        <v>#REF!</v>
      </c>
      <c r="F32" s="205" t="e">
        <f>SUMIF('P&amp;L Monthly'!$A$6:$A$97,A32,'P&amp;L Monthly'!#REF!)</f>
        <v>#REF!</v>
      </c>
      <c r="G32" s="163" t="e">
        <f t="shared" si="9"/>
        <v>#REF!</v>
      </c>
      <c r="H32" s="433" t="e">
        <f t="shared" si="0"/>
        <v>#REF!</v>
      </c>
      <c r="I32" s="112" t="e">
        <f t="shared" si="1"/>
        <v>#REF!</v>
      </c>
      <c r="J32" s="111" t="e">
        <f t="shared" si="2"/>
        <v>#REF!</v>
      </c>
      <c r="K32" s="112" t="e">
        <f t="shared" si="3"/>
        <v>#REF!</v>
      </c>
      <c r="L32" s="113" t="e">
        <f t="shared" si="7"/>
        <v>#REF!</v>
      </c>
      <c r="M32" s="113" t="e">
        <f t="shared" si="8"/>
        <v>#REF!</v>
      </c>
      <c r="N32" s="114" t="e">
        <f>M32-L32</f>
        <v>#REF!</v>
      </c>
    </row>
    <row r="33" spans="1:14" ht="15.75">
      <c r="A33" s="47" t="s">
        <v>29</v>
      </c>
      <c r="B33" s="111">
        <v>3138594.45</v>
      </c>
      <c r="C33" s="111">
        <v>2031832.6600000001</v>
      </c>
      <c r="D33" s="111" t="e">
        <f>SUMIF(#REF!,$A33,#REF!)</f>
        <v>#REF!</v>
      </c>
      <c r="E33" s="111" t="e">
        <f>SUMIF(#REF!,$A33,#REF!)</f>
        <v>#REF!</v>
      </c>
      <c r="F33" s="155" t="e">
        <f>SUMIF('P&amp;L Monthly'!$A$6:$A$97,A33,'P&amp;L Monthly'!#REF!)</f>
        <v>#REF!</v>
      </c>
      <c r="G33" s="163" t="e">
        <f t="shared" si="9"/>
        <v>#REF!</v>
      </c>
      <c r="H33" s="433" t="e">
        <f t="shared" si="0"/>
        <v>#REF!</v>
      </c>
      <c r="I33" s="112" t="e">
        <f t="shared" si="1"/>
        <v>#REF!</v>
      </c>
      <c r="J33" s="111" t="e">
        <f t="shared" si="2"/>
        <v>#REF!</v>
      </c>
      <c r="K33" s="112" t="e">
        <f t="shared" si="3"/>
        <v>#REF!</v>
      </c>
      <c r="L33" s="113" t="e">
        <f t="shared" si="7"/>
        <v>#REF!</v>
      </c>
      <c r="M33" s="113" t="e">
        <f t="shared" si="8"/>
        <v>#REF!</v>
      </c>
      <c r="N33" s="114" t="e">
        <f t="shared" ref="N33:N44" si="10">M33-L33</f>
        <v>#REF!</v>
      </c>
    </row>
    <row r="34" spans="1:14" ht="15.75">
      <c r="A34" s="47" t="s">
        <v>141</v>
      </c>
      <c r="B34" s="111">
        <v>793393.36999999988</v>
      </c>
      <c r="C34" s="111">
        <v>969849.83</v>
      </c>
      <c r="D34" s="111" t="e">
        <f>SUMIF(#REF!,$A34,#REF!)</f>
        <v>#REF!</v>
      </c>
      <c r="E34" s="163" t="e">
        <f>SUMIF(#REF!,$A34,#REF!)</f>
        <v>#REF!</v>
      </c>
      <c r="F34" s="155" t="e">
        <f>SUMIF('P&amp;L Monthly'!$A$6:$A$97,A34,'P&amp;L Monthly'!#REF!)</f>
        <v>#REF!</v>
      </c>
      <c r="G34" s="163" t="e">
        <f>D34</f>
        <v>#REF!</v>
      </c>
      <c r="H34" s="433" t="e">
        <f t="shared" si="0"/>
        <v>#REF!</v>
      </c>
      <c r="I34" s="112" t="e">
        <f t="shared" si="1"/>
        <v>#REF!</v>
      </c>
      <c r="J34" s="111" t="e">
        <f t="shared" si="2"/>
        <v>#REF!</v>
      </c>
      <c r="K34" s="112" t="e">
        <f t="shared" si="3"/>
        <v>#REF!</v>
      </c>
      <c r="L34" s="113" t="e">
        <f t="shared" si="7"/>
        <v>#REF!</v>
      </c>
      <c r="M34" s="113" t="e">
        <f t="shared" si="8"/>
        <v>#REF!</v>
      </c>
      <c r="N34" s="114" t="e">
        <f>M34-L34</f>
        <v>#REF!</v>
      </c>
    </row>
    <row r="35" spans="1:14" ht="15.75">
      <c r="A35" s="47" t="s">
        <v>18</v>
      </c>
      <c r="B35" s="111">
        <v>3129468.31</v>
      </c>
      <c r="C35" s="111">
        <v>2827212.47</v>
      </c>
      <c r="D35" s="111" t="e">
        <f>SUMIF(#REF!,$A35,#REF!)</f>
        <v>#REF!</v>
      </c>
      <c r="E35" s="163" t="e">
        <f>SUMIF(#REF!,$A35,#REF!)</f>
        <v>#REF!</v>
      </c>
      <c r="F35" s="155" t="e">
        <f>SUMIF('P&amp;L Monthly'!$A$6:$A$97,A35,'P&amp;L Monthly'!#REF!)</f>
        <v>#REF!</v>
      </c>
      <c r="G35" s="163">
        <v>2350000</v>
      </c>
      <c r="H35" s="433" t="e">
        <f t="shared" si="0"/>
        <v>#REF!</v>
      </c>
      <c r="I35" s="112" t="e">
        <f t="shared" si="1"/>
        <v>#REF!</v>
      </c>
      <c r="J35" s="111" t="e">
        <f t="shared" si="2"/>
        <v>#REF!</v>
      </c>
      <c r="K35" s="112" t="e">
        <f t="shared" si="3"/>
        <v>#REF!</v>
      </c>
      <c r="L35" s="113" t="e">
        <f t="shared" si="7"/>
        <v>#REF!</v>
      </c>
      <c r="M35" s="113" t="e">
        <f t="shared" si="8"/>
        <v>#REF!</v>
      </c>
      <c r="N35" s="114" t="e">
        <f t="shared" si="10"/>
        <v>#REF!</v>
      </c>
    </row>
    <row r="36" spans="1:14" ht="15.75">
      <c r="A36" s="47" t="s">
        <v>138</v>
      </c>
      <c r="B36" s="111">
        <v>2951623.7099999995</v>
      </c>
      <c r="C36" s="111">
        <v>1582885.53</v>
      </c>
      <c r="D36" s="111" t="e">
        <f>SUMIF(#REF!,$A36,#REF!)</f>
        <v>#REF!</v>
      </c>
      <c r="E36" s="111" t="e">
        <f>SUMIF(#REF!,$A36,#REF!)</f>
        <v>#REF!</v>
      </c>
      <c r="F36" s="155" t="e">
        <f>SUMIF('P&amp;L Monthly'!$A$6:$A$97,A36,'P&amp;L Monthly'!#REF!)</f>
        <v>#REF!</v>
      </c>
      <c r="G36" s="165" t="e">
        <f>E36</f>
        <v>#REF!</v>
      </c>
      <c r="H36" s="431" t="e">
        <f t="shared" si="0"/>
        <v>#REF!</v>
      </c>
      <c r="I36" s="112" t="e">
        <f t="shared" si="1"/>
        <v>#REF!</v>
      </c>
      <c r="J36" s="111" t="e">
        <f t="shared" si="2"/>
        <v>#REF!</v>
      </c>
      <c r="K36" s="112" t="e">
        <f t="shared" si="3"/>
        <v>#REF!</v>
      </c>
      <c r="L36" s="113" t="e">
        <f t="shared" si="7"/>
        <v>#REF!</v>
      </c>
      <c r="M36" s="113" t="e">
        <f t="shared" si="8"/>
        <v>#REF!</v>
      </c>
      <c r="N36" s="114" t="e">
        <f t="shared" si="10"/>
        <v>#REF!</v>
      </c>
    </row>
    <row r="37" spans="1:14" ht="15.75">
      <c r="A37" s="47" t="s">
        <v>25</v>
      </c>
      <c r="B37" s="111">
        <v>2979311.44</v>
      </c>
      <c r="C37" s="111">
        <v>3812167.2699999996</v>
      </c>
      <c r="D37" s="111" t="e">
        <f>SUMIF(#REF!,$A37,#REF!)</f>
        <v>#REF!</v>
      </c>
      <c r="E37" s="111" t="e">
        <f>SUMIF(#REF!,$A37,#REF!)</f>
        <v>#REF!</v>
      </c>
      <c r="F37" s="205" t="e">
        <f>SUMIF('P&amp;L Monthly'!$A$6:$A$97,A37,'P&amp;L Monthly'!#REF!)-700000</f>
        <v>#REF!</v>
      </c>
      <c r="G37" s="163" t="e">
        <f t="shared" si="9"/>
        <v>#REF!</v>
      </c>
      <c r="H37" s="433" t="e">
        <f t="shared" si="0"/>
        <v>#REF!</v>
      </c>
      <c r="I37" s="112" t="e">
        <f t="shared" si="1"/>
        <v>#REF!</v>
      </c>
      <c r="J37" s="111" t="e">
        <f t="shared" si="2"/>
        <v>#REF!</v>
      </c>
      <c r="K37" s="112" t="e">
        <f t="shared" si="3"/>
        <v>#REF!</v>
      </c>
      <c r="L37" s="113" t="e">
        <f t="shared" si="7"/>
        <v>#REF!</v>
      </c>
      <c r="M37" s="113" t="e">
        <f t="shared" si="8"/>
        <v>#REF!</v>
      </c>
      <c r="N37" s="114" t="e">
        <f t="shared" si="10"/>
        <v>#REF!</v>
      </c>
    </row>
    <row r="38" spans="1:14" ht="15.75">
      <c r="A38" s="47" t="s">
        <v>89</v>
      </c>
      <c r="B38" s="111">
        <v>1804925.5599999998</v>
      </c>
      <c r="C38" s="111">
        <v>2666169.5999999996</v>
      </c>
      <c r="D38" s="111" t="e">
        <f>SUMIF(#REF!,$A38,#REF!)</f>
        <v>#REF!</v>
      </c>
      <c r="E38" s="111" t="e">
        <f>SUMIF(#REF!,$A38,#REF!)</f>
        <v>#REF!</v>
      </c>
      <c r="F38" s="155" t="e">
        <f>SUMIF('P&amp;L Monthly'!$A$6:$A$97,A38,'P&amp;L Monthly'!#REF!)</f>
        <v>#REF!</v>
      </c>
      <c r="G38" s="163">
        <v>3000000</v>
      </c>
      <c r="H38" s="433" t="e">
        <f t="shared" si="0"/>
        <v>#REF!</v>
      </c>
      <c r="I38" s="112" t="e">
        <f t="shared" si="1"/>
        <v>#REF!</v>
      </c>
      <c r="J38" s="111" t="e">
        <f t="shared" si="2"/>
        <v>#REF!</v>
      </c>
      <c r="K38" s="112" t="e">
        <f t="shared" si="3"/>
        <v>#REF!</v>
      </c>
      <c r="L38" s="113" t="e">
        <f t="shared" si="7"/>
        <v>#REF!</v>
      </c>
      <c r="M38" s="113" t="e">
        <f t="shared" si="8"/>
        <v>#REF!</v>
      </c>
      <c r="N38" s="114" t="e">
        <f t="shared" si="10"/>
        <v>#REF!</v>
      </c>
    </row>
    <row r="39" spans="1:14" ht="15.75">
      <c r="A39" s="47" t="s">
        <v>45</v>
      </c>
      <c r="B39" s="111">
        <v>1411033.45</v>
      </c>
      <c r="C39" s="111">
        <v>1074758.5799999998</v>
      </c>
      <c r="D39" s="111" t="e">
        <f>SUMIF(#REF!,$A39,#REF!)</f>
        <v>#REF!</v>
      </c>
      <c r="E39" s="111" t="e">
        <f>SUMIF(#REF!,$A39,#REF!)</f>
        <v>#REF!</v>
      </c>
      <c r="F39" s="373" t="e">
        <f>'P&amp;L Monthly'!#REF!+#REF!+#REF!+#REF!</f>
        <v>#REF!</v>
      </c>
      <c r="G39" s="165">
        <v>1050000</v>
      </c>
      <c r="H39" s="431" t="e">
        <f t="shared" si="0"/>
        <v>#REF!</v>
      </c>
      <c r="I39" s="112" t="e">
        <f t="shared" si="1"/>
        <v>#REF!</v>
      </c>
      <c r="J39" s="111" t="e">
        <f t="shared" si="2"/>
        <v>#REF!</v>
      </c>
      <c r="K39" s="112" t="e">
        <f t="shared" si="3"/>
        <v>#REF!</v>
      </c>
      <c r="L39" s="113" t="e">
        <f t="shared" si="7"/>
        <v>#REF!</v>
      </c>
      <c r="M39" s="113" t="e">
        <f t="shared" si="8"/>
        <v>#REF!</v>
      </c>
      <c r="N39" s="114" t="e">
        <f t="shared" si="10"/>
        <v>#REF!</v>
      </c>
    </row>
    <row r="40" spans="1:14" ht="15.75">
      <c r="A40" s="47" t="s">
        <v>12</v>
      </c>
      <c r="B40" s="111">
        <v>835071.8600000001</v>
      </c>
      <c r="C40" s="111">
        <v>718258.78999999992</v>
      </c>
      <c r="D40" s="111" t="e">
        <f>SUMIF(#REF!,$A40,#REF!)</f>
        <v>#REF!</v>
      </c>
      <c r="E40" s="111" t="e">
        <f>SUMIF(#REF!,$A40,#REF!)</f>
        <v>#REF!</v>
      </c>
      <c r="F40" s="155" t="e">
        <f>SUMIF('P&amp;L Monthly'!$A$6:$A$97,A40,'P&amp;L Monthly'!#REF!)</f>
        <v>#REF!</v>
      </c>
      <c r="G40" s="163" t="e">
        <f t="shared" si="9"/>
        <v>#REF!</v>
      </c>
      <c r="H40" s="433" t="e">
        <f t="shared" si="0"/>
        <v>#REF!</v>
      </c>
      <c r="I40" s="112" t="e">
        <f t="shared" si="1"/>
        <v>#REF!</v>
      </c>
      <c r="J40" s="111" t="e">
        <f t="shared" si="2"/>
        <v>#REF!</v>
      </c>
      <c r="K40" s="112" t="e">
        <f t="shared" si="3"/>
        <v>#REF!</v>
      </c>
      <c r="L40" s="113" t="e">
        <f t="shared" si="7"/>
        <v>#REF!</v>
      </c>
      <c r="M40" s="113" t="e">
        <f t="shared" si="8"/>
        <v>#REF!</v>
      </c>
      <c r="N40" s="114" t="e">
        <f t="shared" si="10"/>
        <v>#REF!</v>
      </c>
    </row>
    <row r="41" spans="1:14" ht="15.75">
      <c r="A41" s="47" t="s">
        <v>327</v>
      </c>
      <c r="B41" s="111">
        <v>424900.70999999996</v>
      </c>
      <c r="C41" s="111">
        <v>358804.57</v>
      </c>
      <c r="D41" s="111" t="e">
        <f>SUMIF(#REF!,$A41,#REF!)</f>
        <v>#REF!</v>
      </c>
      <c r="E41" s="111" t="e">
        <f>SUMIF(#REF!,$A41,#REF!)</f>
        <v>#REF!</v>
      </c>
      <c r="F41" s="155" t="e">
        <f>SUMIF('P&amp;L Monthly'!$A$6:$A$97,A41,'P&amp;L Monthly'!#REF!)</f>
        <v>#REF!</v>
      </c>
      <c r="G41" s="163" t="e">
        <f t="shared" si="9"/>
        <v>#REF!</v>
      </c>
      <c r="H41" s="433" t="e">
        <f t="shared" si="0"/>
        <v>#REF!</v>
      </c>
      <c r="I41" s="112" t="e">
        <f t="shared" si="1"/>
        <v>#REF!</v>
      </c>
      <c r="J41" s="111" t="e">
        <f t="shared" si="2"/>
        <v>#REF!</v>
      </c>
      <c r="K41" s="112" t="e">
        <f t="shared" si="3"/>
        <v>#REF!</v>
      </c>
      <c r="L41" s="113" t="e">
        <f t="shared" si="7"/>
        <v>#REF!</v>
      </c>
      <c r="M41" s="113" t="e">
        <f t="shared" si="8"/>
        <v>#REF!</v>
      </c>
      <c r="N41" s="114" t="e">
        <f t="shared" si="10"/>
        <v>#REF!</v>
      </c>
    </row>
    <row r="42" spans="1:14" ht="15.75">
      <c r="A42" s="47" t="s">
        <v>27</v>
      </c>
      <c r="B42" s="111">
        <v>373682.76999999996</v>
      </c>
      <c r="C42" s="111">
        <v>282918.88</v>
      </c>
      <c r="D42" s="111" t="e">
        <f>SUMIF(#REF!,$A42,#REF!)</f>
        <v>#REF!</v>
      </c>
      <c r="E42" s="155" t="e">
        <f>SUMIF(#REF!,$A42,#REF!)</f>
        <v>#REF!</v>
      </c>
      <c r="F42" s="155" t="e">
        <f>SUMIF('P&amp;L Monthly'!$A$6:$A$97,A42,'P&amp;L Monthly'!#REF!)</f>
        <v>#REF!</v>
      </c>
      <c r="G42" s="163">
        <v>225400</v>
      </c>
      <c r="H42" s="433" t="e">
        <f t="shared" si="0"/>
        <v>#REF!</v>
      </c>
      <c r="I42" s="112" t="e">
        <f t="shared" si="1"/>
        <v>#REF!</v>
      </c>
      <c r="J42" s="111" t="e">
        <f t="shared" si="2"/>
        <v>#REF!</v>
      </c>
      <c r="K42" s="112" t="e">
        <f t="shared" si="3"/>
        <v>#REF!</v>
      </c>
      <c r="L42" s="113" t="e">
        <f t="shared" si="7"/>
        <v>#REF!</v>
      </c>
      <c r="M42" s="113" t="e">
        <f t="shared" si="8"/>
        <v>#REF!</v>
      </c>
      <c r="N42" s="114" t="e">
        <f t="shared" si="10"/>
        <v>#REF!</v>
      </c>
    </row>
    <row r="43" spans="1:14" ht="15.75" customHeight="1">
      <c r="A43" s="47" t="s">
        <v>37</v>
      </c>
      <c r="B43" s="111">
        <v>259982.57</v>
      </c>
      <c r="C43" s="111">
        <v>486053.39</v>
      </c>
      <c r="D43" s="111" t="e">
        <f>SUMIF(#REF!,$A43,#REF!)</f>
        <v>#REF!</v>
      </c>
      <c r="E43" s="111" t="e">
        <f>SUMIF(#REF!,$A43,#REF!)</f>
        <v>#REF!</v>
      </c>
      <c r="F43" s="155" t="e">
        <f>SUMIF('P&amp;L Monthly'!$A$6:$A$97,A43,'P&amp;L Monthly'!#REF!)</f>
        <v>#REF!</v>
      </c>
      <c r="G43" s="165">
        <v>580000</v>
      </c>
      <c r="H43" s="431" t="e">
        <f t="shared" si="0"/>
        <v>#REF!</v>
      </c>
      <c r="I43" s="112" t="e">
        <f t="shared" si="1"/>
        <v>#REF!</v>
      </c>
      <c r="J43" s="111" t="e">
        <f t="shared" si="2"/>
        <v>#REF!</v>
      </c>
      <c r="K43" s="112" t="e">
        <f t="shared" si="3"/>
        <v>#REF!</v>
      </c>
      <c r="L43" s="113" t="e">
        <f t="shared" si="7"/>
        <v>#REF!</v>
      </c>
      <c r="M43" s="113" t="e">
        <f t="shared" si="8"/>
        <v>#REF!</v>
      </c>
      <c r="N43" s="114" t="e">
        <f t="shared" si="10"/>
        <v>#REF!</v>
      </c>
    </row>
    <row r="44" spans="1:14" ht="15.75">
      <c r="A44" s="47" t="s">
        <v>57</v>
      </c>
      <c r="B44" s="111">
        <v>133001.34999999998</v>
      </c>
      <c r="C44" s="111">
        <v>445762.28</v>
      </c>
      <c r="D44" s="111" t="e">
        <f>SUMIF(#REF!,$A44,#REF!)</f>
        <v>#REF!</v>
      </c>
      <c r="E44" s="111" t="e">
        <f>SUMIF(#REF!,$A44,#REF!)</f>
        <v>#REF!</v>
      </c>
      <c r="F44" s="155" t="e">
        <f>SUMIF('P&amp;L Monthly'!$A$6:$A$97,A44,'P&amp;L Monthly'!#REF!)</f>
        <v>#REF!</v>
      </c>
      <c r="G44" s="163">
        <v>500000</v>
      </c>
      <c r="H44" s="433" t="e">
        <f t="shared" si="0"/>
        <v>#REF!</v>
      </c>
      <c r="I44" s="112" t="e">
        <f t="shared" si="1"/>
        <v>#REF!</v>
      </c>
      <c r="J44" s="111" t="e">
        <f t="shared" si="2"/>
        <v>#REF!</v>
      </c>
      <c r="K44" s="112" t="e">
        <f t="shared" si="3"/>
        <v>#REF!</v>
      </c>
      <c r="L44" s="113" t="e">
        <f t="shared" si="7"/>
        <v>#REF!</v>
      </c>
      <c r="M44" s="113" t="e">
        <f t="shared" si="8"/>
        <v>#REF!</v>
      </c>
      <c r="N44" s="114" t="e">
        <f t="shared" si="10"/>
        <v>#REF!</v>
      </c>
    </row>
    <row r="45" spans="1:14" ht="15.75">
      <c r="A45" s="47" t="s">
        <v>608</v>
      </c>
      <c r="B45" s="111"/>
      <c r="C45" s="111"/>
      <c r="D45" s="111"/>
      <c r="E45" s="111" t="e">
        <f>SUMIF(#REF!,$A45,#REF!)</f>
        <v>#REF!</v>
      </c>
      <c r="F45" s="111" t="e">
        <f>SUMIF('P&amp;L Monthly'!$A$6:$A$98,A45,'P&amp;L Monthly'!#REF!)</f>
        <v>#REF!</v>
      </c>
      <c r="G45" s="163"/>
      <c r="H45" s="433">
        <f t="shared" si="0"/>
        <v>0</v>
      </c>
      <c r="I45" s="112" t="e">
        <f t="shared" si="1"/>
        <v>#DIV/0!</v>
      </c>
      <c r="J45" s="111" t="e">
        <f>E45-D45</f>
        <v>#REF!</v>
      </c>
      <c r="K45" s="112">
        <v>0</v>
      </c>
      <c r="L45" s="113" t="e">
        <f>D45/$D$11</f>
        <v>#REF!</v>
      </c>
      <c r="M45" s="113" t="e">
        <f>E45/$E$11</f>
        <v>#REF!</v>
      </c>
      <c r="N45" s="114" t="e">
        <f>M45-L45</f>
        <v>#REF!</v>
      </c>
    </row>
    <row r="46" spans="1:14" s="29" customFormat="1" ht="10.5" customHeight="1" thickBot="1">
      <c r="B46" s="438"/>
      <c r="C46" s="438"/>
      <c r="D46" s="438"/>
      <c r="E46" s="201"/>
      <c r="F46" s="438"/>
      <c r="G46" s="201"/>
      <c r="H46" s="438"/>
    </row>
    <row r="47" spans="1:14" ht="21.75" thickBot="1">
      <c r="A47" s="118" t="s">
        <v>469</v>
      </c>
      <c r="B47" s="119">
        <f>B14-B15</f>
        <v>50477467.009336233</v>
      </c>
      <c r="C47" s="119">
        <v>49987940.940000042</v>
      </c>
      <c r="D47" s="119" t="e">
        <f>D14-D15</f>
        <v>#REF!</v>
      </c>
      <c r="E47" s="119" t="e">
        <f>E14-E15</f>
        <v>#REF!</v>
      </c>
      <c r="F47" s="119" t="e">
        <f>F14-F15</f>
        <v>#REF!</v>
      </c>
      <c r="G47" s="119" t="e">
        <f>G14-G15</f>
        <v>#REF!</v>
      </c>
      <c r="H47" s="126" t="e">
        <f t="shared" si="0"/>
        <v>#REF!</v>
      </c>
      <c r="I47" s="121" t="e">
        <f t="shared" si="1"/>
        <v>#REF!</v>
      </c>
      <c r="J47" s="120" t="e">
        <f t="shared" si="2"/>
        <v>#REF!</v>
      </c>
      <c r="K47" s="121" t="e">
        <f t="shared" si="3"/>
        <v>#REF!</v>
      </c>
      <c r="L47" s="122" t="e">
        <f>D47/$D$11</f>
        <v>#REF!</v>
      </c>
      <c r="M47" s="123" t="e">
        <f>E47/$E$11</f>
        <v>#REF!</v>
      </c>
      <c r="N47" s="123" t="e">
        <f>M47-L47</f>
        <v>#REF!</v>
      </c>
    </row>
    <row r="48" spans="1:14" ht="11.25" customHeight="1" thickBot="1">
      <c r="A48"/>
      <c r="B48" s="203"/>
      <c r="C48" s="203"/>
      <c r="D48" s="203"/>
      <c r="E48" s="203"/>
      <c r="F48" s="203"/>
      <c r="G48" s="203"/>
      <c r="H48" s="203"/>
      <c r="I48"/>
      <c r="K48"/>
    </row>
    <row r="49" spans="1:15" ht="21.75" thickBot="1">
      <c r="A49" s="68" t="s">
        <v>289</v>
      </c>
      <c r="B49" s="98">
        <v>15562562.529999996</v>
      </c>
      <c r="C49" s="124">
        <v>17889743.530000001</v>
      </c>
      <c r="D49" s="125" t="e">
        <f>VLOOKUP($A49,#REF!,103,0)</f>
        <v>#REF!</v>
      </c>
      <c r="E49" s="125" t="e">
        <f>VLOOKUP($A49,#REF!,105,0)</f>
        <v>#REF!</v>
      </c>
      <c r="F49" s="125" t="e">
        <f>VLOOKUP(A49,'P&amp;L Monthly'!$A$102:$AA$114,33,0)</f>
        <v>#REF!</v>
      </c>
      <c r="G49" s="125" t="e">
        <f>E49</f>
        <v>#REF!</v>
      </c>
      <c r="H49" s="125" t="e">
        <f t="shared" si="0"/>
        <v>#REF!</v>
      </c>
      <c r="I49" s="99" t="e">
        <f t="shared" si="1"/>
        <v>#REF!</v>
      </c>
      <c r="J49" s="125" t="e">
        <f t="shared" si="2"/>
        <v>#REF!</v>
      </c>
      <c r="K49" s="99" t="e">
        <f t="shared" si="3"/>
        <v>#REF!</v>
      </c>
      <c r="L49" s="100" t="e">
        <f>D49/$D$11</f>
        <v>#REF!</v>
      </c>
      <c r="M49" s="40" t="e">
        <f>E49/$E$11</f>
        <v>#REF!</v>
      </c>
      <c r="N49" s="40" t="e">
        <f t="shared" ref="N49:N56" si="11">M49-L49</f>
        <v>#REF!</v>
      </c>
    </row>
    <row r="50" spans="1:15" ht="21.75" thickBot="1">
      <c r="A50" s="118" t="s">
        <v>470</v>
      </c>
      <c r="B50" s="119">
        <f>B47-B49</f>
        <v>34914904.479336239</v>
      </c>
      <c r="C50" s="119">
        <v>32098197.410000041</v>
      </c>
      <c r="D50" s="119" t="e">
        <f>D47-D49</f>
        <v>#REF!</v>
      </c>
      <c r="E50" s="119" t="e">
        <f>E47-E49</f>
        <v>#REF!</v>
      </c>
      <c r="F50" s="119" t="e">
        <f>F47-F49</f>
        <v>#REF!</v>
      </c>
      <c r="G50" s="119" t="e">
        <f>G47-G49</f>
        <v>#REF!</v>
      </c>
      <c r="H50" s="126" t="e">
        <f t="shared" si="0"/>
        <v>#REF!</v>
      </c>
      <c r="I50" s="121" t="e">
        <f t="shared" si="1"/>
        <v>#REF!</v>
      </c>
      <c r="J50" s="120" t="e">
        <f t="shared" si="2"/>
        <v>#REF!</v>
      </c>
      <c r="K50" s="121" t="e">
        <f t="shared" si="3"/>
        <v>#REF!</v>
      </c>
      <c r="L50" s="122" t="e">
        <f>D50/$D$11</f>
        <v>#REF!</v>
      </c>
      <c r="M50" s="123" t="e">
        <f>E50/$E$11</f>
        <v>#REF!</v>
      </c>
      <c r="N50" s="123" t="e">
        <f t="shared" si="11"/>
        <v>#REF!</v>
      </c>
    </row>
    <row r="51" spans="1:15" ht="21.75" thickBot="1">
      <c r="A51" s="68" t="s">
        <v>329</v>
      </c>
      <c r="B51" s="98">
        <v>4345868.5200000005</v>
      </c>
      <c r="C51" s="124">
        <v>2822108.01</v>
      </c>
      <c r="D51" s="124" t="e">
        <f>VLOOKUP($A51,#REF!,103,0)</f>
        <v>#REF!</v>
      </c>
      <c r="E51" s="124" t="e">
        <f>VLOOKUP($A51,#REF!,105,0)</f>
        <v>#REF!</v>
      </c>
      <c r="F51" s="124" t="e">
        <f>VLOOKUP(A51,'P&amp;L Monthly'!$A$102:$AA$114,33,0)</f>
        <v>#REF!</v>
      </c>
      <c r="G51" s="125" t="e">
        <f>E51</f>
        <v>#REF!</v>
      </c>
      <c r="H51" s="125" t="e">
        <f t="shared" si="0"/>
        <v>#REF!</v>
      </c>
      <c r="I51" s="99" t="e">
        <f t="shared" si="1"/>
        <v>#REF!</v>
      </c>
      <c r="J51" s="124" t="e">
        <f t="shared" si="2"/>
        <v>#REF!</v>
      </c>
      <c r="K51" s="99" t="e">
        <f t="shared" si="3"/>
        <v>#REF!</v>
      </c>
      <c r="L51" s="100" t="e">
        <f>D51/$D$11</f>
        <v>#REF!</v>
      </c>
      <c r="M51" s="40" t="e">
        <f>E51/$E$11</f>
        <v>#REF!</v>
      </c>
      <c r="N51" s="40" t="e">
        <f t="shared" si="11"/>
        <v>#REF!</v>
      </c>
      <c r="O51" s="204" t="e">
        <f>F51-E51</f>
        <v>#REF!</v>
      </c>
    </row>
    <row r="52" spans="1:15" ht="21.75" thickBot="1">
      <c r="A52" s="118" t="s">
        <v>471</v>
      </c>
      <c r="B52" s="126">
        <f>B50-B51</f>
        <v>30569035.95933624</v>
      </c>
      <c r="C52" s="126">
        <v>29276089.400000043</v>
      </c>
      <c r="D52" s="126" t="e">
        <f>D50-D51</f>
        <v>#REF!</v>
      </c>
      <c r="E52" s="126" t="e">
        <f>E50-E51</f>
        <v>#REF!</v>
      </c>
      <c r="F52" s="126" t="e">
        <f>F50-F51</f>
        <v>#REF!</v>
      </c>
      <c r="G52" s="126" t="e">
        <f>G50-G51</f>
        <v>#REF!</v>
      </c>
      <c r="H52" s="126" t="e">
        <f t="shared" si="0"/>
        <v>#REF!</v>
      </c>
      <c r="I52" s="121" t="e">
        <f t="shared" si="1"/>
        <v>#REF!</v>
      </c>
      <c r="J52" s="120" t="e">
        <f t="shared" si="2"/>
        <v>#REF!</v>
      </c>
      <c r="K52" s="121" t="e">
        <f t="shared" si="3"/>
        <v>#REF!</v>
      </c>
      <c r="L52" s="122" t="e">
        <f>D52/$D$11</f>
        <v>#REF!</v>
      </c>
      <c r="M52" s="123" t="e">
        <f>E52/$E$11</f>
        <v>#REF!</v>
      </c>
      <c r="N52" s="123" t="e">
        <f>M52-L52</f>
        <v>#REF!</v>
      </c>
    </row>
    <row r="53" spans="1:15" ht="21.75" thickBot="1">
      <c r="A53" s="68" t="s">
        <v>149</v>
      </c>
      <c r="B53" s="39">
        <v>4465696.8808625052</v>
      </c>
      <c r="C53" s="124">
        <v>3917653.84</v>
      </c>
      <c r="D53" s="124" t="e">
        <f>VLOOKUP($A53,#REF!,103,0)</f>
        <v>#REF!</v>
      </c>
      <c r="E53" s="124" t="e">
        <f>VLOOKUP($A53,#REF!,105,0)</f>
        <v>#REF!</v>
      </c>
      <c r="F53" s="124" t="e">
        <f>VLOOKUP(A53,'P&amp;L Monthly'!$A$102:$AA$114,33,0)</f>
        <v>#REF!</v>
      </c>
      <c r="G53" s="124" t="e">
        <f>E53</f>
        <v>#REF!</v>
      </c>
      <c r="H53" s="124" t="e">
        <f t="shared" si="0"/>
        <v>#REF!</v>
      </c>
      <c r="I53" s="99" t="e">
        <f t="shared" si="1"/>
        <v>#REF!</v>
      </c>
      <c r="J53" s="124" t="e">
        <f t="shared" si="2"/>
        <v>#REF!</v>
      </c>
      <c r="K53" s="99" t="e">
        <f t="shared" si="3"/>
        <v>#REF!</v>
      </c>
      <c r="L53" s="100" t="e">
        <f>D53/$D$11</f>
        <v>#REF!</v>
      </c>
      <c r="M53" s="40" t="e">
        <f>E53/$E$11</f>
        <v>#REF!</v>
      </c>
      <c r="N53" s="40" t="e">
        <f t="shared" si="11"/>
        <v>#REF!</v>
      </c>
    </row>
    <row r="54" spans="1:15" ht="9.75" customHeight="1" thickBot="1">
      <c r="I54" s="424" t="e">
        <f t="shared" si="1"/>
        <v>#DIV/0!</v>
      </c>
    </row>
    <row r="55" spans="1:15" ht="21.75" thickBot="1">
      <c r="A55" s="127" t="s">
        <v>447</v>
      </c>
      <c r="B55" s="31">
        <v>10267762.93</v>
      </c>
      <c r="C55" s="128">
        <v>24134561.690000001</v>
      </c>
      <c r="D55" s="129" t="e">
        <f>VLOOKUP($A55,#REF!,103,0)</f>
        <v>#REF!</v>
      </c>
      <c r="E55" s="129" t="e">
        <f>VLOOKUP($A55,#REF!,105,0)</f>
        <v>#REF!</v>
      </c>
      <c r="F55" s="129" t="e">
        <f>VLOOKUP(A55,'P&amp;L Monthly'!$A$102:$AA$114,33,0)</f>
        <v>#REF!</v>
      </c>
      <c r="G55" s="129" t="e">
        <f>E55</f>
        <v>#REF!</v>
      </c>
      <c r="H55" s="129" t="e">
        <f t="shared" si="0"/>
        <v>#REF!</v>
      </c>
      <c r="I55" s="130" t="e">
        <f t="shared" si="1"/>
        <v>#REF!</v>
      </c>
      <c r="J55" s="129" t="e">
        <f t="shared" si="2"/>
        <v>#REF!</v>
      </c>
      <c r="K55" s="130" t="e">
        <f t="shared" si="3"/>
        <v>#REF!</v>
      </c>
      <c r="L55" s="100" t="e">
        <f>D55/$D$11</f>
        <v>#REF!</v>
      </c>
      <c r="M55" s="40" t="e">
        <f>E55/$E$11</f>
        <v>#REF!</v>
      </c>
      <c r="N55" s="131" t="e">
        <f t="shared" si="11"/>
        <v>#REF!</v>
      </c>
    </row>
    <row r="56" spans="1:15" ht="21.75" thickBot="1">
      <c r="A56" s="68" t="s">
        <v>293</v>
      </c>
      <c r="B56" s="39">
        <v>6523768.5299999993</v>
      </c>
      <c r="C56" s="132">
        <v>22997343.079999998</v>
      </c>
      <c r="D56" s="125" t="e">
        <f>VLOOKUP($A56,#REF!,103,0)</f>
        <v>#REF!</v>
      </c>
      <c r="E56" s="125" t="e">
        <f>VLOOKUP($A56,#REF!,105,0)</f>
        <v>#REF!</v>
      </c>
      <c r="F56" s="125" t="e">
        <f>VLOOKUP(A56,'P&amp;L Monthly'!$A$102:$AA$114,33,0)</f>
        <v>#REF!</v>
      </c>
      <c r="G56" s="125" t="e">
        <f>E56</f>
        <v>#REF!</v>
      </c>
      <c r="H56" s="125" t="e">
        <f t="shared" si="0"/>
        <v>#REF!</v>
      </c>
      <c r="I56" s="99" t="e">
        <f t="shared" si="1"/>
        <v>#REF!</v>
      </c>
      <c r="J56" s="125" t="e">
        <f t="shared" si="2"/>
        <v>#REF!</v>
      </c>
      <c r="K56" s="99" t="e">
        <f t="shared" si="3"/>
        <v>#REF!</v>
      </c>
      <c r="L56" s="100" t="e">
        <f>D56/$D$11</f>
        <v>#REF!</v>
      </c>
      <c r="M56" s="40" t="e">
        <f>E56/$E$11</f>
        <v>#REF!</v>
      </c>
      <c r="N56" s="40" t="e">
        <f t="shared" si="11"/>
        <v>#REF!</v>
      </c>
    </row>
    <row r="57" spans="1:15" ht="9.75" customHeight="1" thickBot="1"/>
    <row r="58" spans="1:15" ht="27" thickBot="1">
      <c r="A58" s="70" t="s">
        <v>500</v>
      </c>
      <c r="B58" s="133">
        <f>B52-B53+B55-B56</f>
        <v>29847333.478473738</v>
      </c>
      <c r="C58" s="133">
        <v>26495654.170000046</v>
      </c>
      <c r="D58" s="133" t="e">
        <f>D52-D53-D56+D55</f>
        <v>#REF!</v>
      </c>
      <c r="E58" s="133" t="e">
        <f>E52-E53-E56+E55</f>
        <v>#REF!</v>
      </c>
      <c r="F58" s="133" t="e">
        <f>F52-F53-F56+F55</f>
        <v>#REF!</v>
      </c>
      <c r="G58" s="133" t="e">
        <f>G52-G53-G56+G55</f>
        <v>#REF!</v>
      </c>
      <c r="H58" s="58" t="e">
        <f t="shared" si="0"/>
        <v>#REF!</v>
      </c>
      <c r="I58" s="134" t="e">
        <f t="shared" si="1"/>
        <v>#REF!</v>
      </c>
      <c r="J58" s="58" t="e">
        <f t="shared" si="2"/>
        <v>#REF!</v>
      </c>
      <c r="K58" s="134" t="e">
        <f t="shared" si="3"/>
        <v>#REF!</v>
      </c>
      <c r="L58" s="135" t="e">
        <f>D58/$D$11</f>
        <v>#REF!</v>
      </c>
      <c r="M58" s="59" t="e">
        <f>E58/$E$11</f>
        <v>#REF!</v>
      </c>
      <c r="N58" s="59" t="e">
        <f>M58-L58</f>
        <v>#REF!</v>
      </c>
    </row>
    <row r="59" spans="1:15" s="67" customFormat="1" ht="9.75" customHeight="1" thickBot="1">
      <c r="A59" s="72"/>
      <c r="B59" s="72"/>
      <c r="C59"/>
      <c r="D59"/>
      <c r="E59"/>
      <c r="F59"/>
      <c r="G59"/>
      <c r="H59">
        <f t="shared" si="0"/>
        <v>0</v>
      </c>
      <c r="I59" s="424"/>
      <c r="J59"/>
      <c r="K59" s="16"/>
      <c r="L59"/>
      <c r="M59"/>
      <c r="N59"/>
    </row>
    <row r="60" spans="1:15" ht="53.25" thickBot="1">
      <c r="A60" s="136" t="s">
        <v>501</v>
      </c>
      <c r="B60" s="137">
        <f>B58</f>
        <v>29847333.478473738</v>
      </c>
      <c r="C60" s="138">
        <v>26495654.170000046</v>
      </c>
      <c r="D60" s="138" t="e">
        <f>D58+K66</f>
        <v>#REF!</v>
      </c>
      <c r="E60" s="138" t="e">
        <f>E58+L66</f>
        <v>#REF!</v>
      </c>
      <c r="F60" s="138" t="e">
        <f>F58+M66</f>
        <v>#REF!</v>
      </c>
      <c r="G60" s="138" t="e">
        <f>G58+N66</f>
        <v>#REF!</v>
      </c>
      <c r="H60" s="137" t="e">
        <f t="shared" si="0"/>
        <v>#REF!</v>
      </c>
      <c r="I60" s="139" t="e">
        <f t="shared" si="1"/>
        <v>#REF!</v>
      </c>
      <c r="J60" s="137" t="e">
        <f t="shared" si="2"/>
        <v>#REF!</v>
      </c>
      <c r="K60" s="139" t="e">
        <f t="shared" si="3"/>
        <v>#REF!</v>
      </c>
      <c r="L60" s="140" t="e">
        <f>D60/$D$11</f>
        <v>#REF!</v>
      </c>
      <c r="M60" s="141" t="e">
        <f>E60/$E$11</f>
        <v>#REF!</v>
      </c>
      <c r="N60" s="141" t="e">
        <f>M60-L58</f>
        <v>#REF!</v>
      </c>
    </row>
    <row r="61" spans="1:15">
      <c r="B61" s="142"/>
    </row>
    <row r="62" spans="1:15" ht="15" hidden="1" customHeight="1" outlineLevel="1">
      <c r="A62" s="142"/>
      <c r="B62" s="143" t="s">
        <v>502</v>
      </c>
      <c r="C62" s="144" t="s">
        <v>503</v>
      </c>
      <c r="D62" s="144"/>
      <c r="E62" s="144"/>
      <c r="F62" s="144"/>
      <c r="G62" s="144"/>
      <c r="H62" s="144"/>
      <c r="J62" s="145"/>
    </row>
    <row r="63" spans="1:15" ht="15" hidden="1" customHeight="1" outlineLevel="1">
      <c r="B63" s="146"/>
      <c r="C63" s="147" t="s">
        <v>150</v>
      </c>
      <c r="D63" s="147"/>
      <c r="E63" s="147"/>
      <c r="F63" s="147"/>
      <c r="G63" s="147"/>
      <c r="H63" s="147"/>
      <c r="I63" t="s">
        <v>504</v>
      </c>
      <c r="J63" s="145"/>
      <c r="K63" t="s">
        <v>504</v>
      </c>
    </row>
    <row r="64" spans="1:15" ht="15" hidden="1" customHeight="1" outlineLevel="1">
      <c r="B64" s="148"/>
      <c r="C64" s="147" t="s">
        <v>505</v>
      </c>
      <c r="D64" s="147"/>
      <c r="E64" s="147"/>
      <c r="F64" s="147"/>
      <c r="G64" s="147"/>
      <c r="H64" s="147"/>
      <c r="J64" s="145">
        <v>0</v>
      </c>
    </row>
    <row r="65" spans="1:14" ht="15" hidden="1" customHeight="1" outlineLevel="1">
      <c r="B65" s="66"/>
      <c r="C65" s="147" t="s">
        <v>506</v>
      </c>
      <c r="D65" s="147"/>
      <c r="E65" s="147"/>
      <c r="F65" s="147"/>
      <c r="G65" s="147"/>
      <c r="H65" s="147"/>
      <c r="J65" s="145"/>
    </row>
    <row r="66" spans="1:14" ht="15" hidden="1" customHeight="1" outlineLevel="1">
      <c r="A66" s="149"/>
      <c r="B66" s="150"/>
      <c r="C66" s="151" t="s">
        <v>507</v>
      </c>
      <c r="D66" s="151"/>
      <c r="E66" s="151"/>
      <c r="F66" s="151"/>
      <c r="G66" s="151"/>
      <c r="H66" s="151"/>
      <c r="I66" s="153"/>
      <c r="J66" s="152">
        <f>SUM(J63:J65)</f>
        <v>0</v>
      </c>
      <c r="K66" s="153"/>
      <c r="L66" s="67"/>
      <c r="M66" s="67"/>
      <c r="N66" s="67"/>
    </row>
    <row r="67" spans="1:14" ht="15" hidden="1" customHeight="1" outlineLevel="1"/>
    <row r="68" spans="1:14" ht="15" hidden="1" customHeight="1" outlineLevel="1"/>
    <row r="69" spans="1:14" ht="15" hidden="1" customHeight="1" outlineLevel="1"/>
    <row r="70" spans="1:14" ht="15" customHeight="1" collapsed="1">
      <c r="E70" s="204"/>
    </row>
    <row r="71" spans="1:14" ht="18.75">
      <c r="D71" s="425"/>
      <c r="E71" s="12"/>
    </row>
    <row r="72" spans="1:14" ht="18.75" hidden="1" outlineLevel="2">
      <c r="D72" s="425" t="s">
        <v>610</v>
      </c>
      <c r="E72" s="12">
        <v>654411</v>
      </c>
    </row>
    <row r="73" spans="1:14" hidden="1" outlineLevel="2">
      <c r="D73" t="s">
        <v>611</v>
      </c>
      <c r="E73" s="12">
        <v>452244.44975631416</v>
      </c>
    </row>
    <row r="74" spans="1:14" hidden="1" outlineLevel="2">
      <c r="D74" t="s">
        <v>612</v>
      </c>
      <c r="E74" s="12">
        <v>136409.0711242781</v>
      </c>
    </row>
    <row r="75" spans="1:14" hidden="1" outlineLevel="2">
      <c r="E75" s="12">
        <f>SUM(E72:E74)</f>
        <v>1243064.5208805921</v>
      </c>
      <c r="J75" s="12" t="e">
        <f>-#REF!*-1</f>
        <v>#REF!</v>
      </c>
    </row>
    <row r="76" spans="1:14" hidden="1" outlineLevel="2">
      <c r="D76" t="s">
        <v>562</v>
      </c>
      <c r="E76" s="20">
        <f>G2-E75</f>
        <v>-1243064.5208805921</v>
      </c>
    </row>
    <row r="77" spans="1:14" hidden="1" outlineLevel="2"/>
    <row r="78" spans="1:14" hidden="1" outlineLevel="2"/>
    <row r="79" spans="1:14" hidden="1" outlineLevel="2">
      <c r="D79" t="s">
        <v>612</v>
      </c>
      <c r="E79" s="12">
        <f>4*30000</f>
        <v>120000</v>
      </c>
      <c r="F79">
        <v>4</v>
      </c>
    </row>
    <row r="80" spans="1:14" hidden="1" outlineLevel="2">
      <c r="D80" t="s">
        <v>613</v>
      </c>
      <c r="E80" s="12">
        <f>10*8000</f>
        <v>80000</v>
      </c>
      <c r="F80">
        <v>10</v>
      </c>
    </row>
    <row r="81" spans="4:6" hidden="1" outlineLevel="2">
      <c r="D81" t="s">
        <v>614</v>
      </c>
      <c r="E81" s="12">
        <f>5*21600</f>
        <v>108000</v>
      </c>
      <c r="F81">
        <v>5</v>
      </c>
    </row>
    <row r="82" spans="4:6" hidden="1" outlineLevel="2">
      <c r="D82" t="s">
        <v>615</v>
      </c>
      <c r="E82" s="12">
        <v>80000</v>
      </c>
      <c r="F82">
        <v>50</v>
      </c>
    </row>
    <row r="83" spans="4:6" hidden="1" outlineLevel="2">
      <c r="E83" s="12">
        <f>SUM(E79:E82)</f>
        <v>388000</v>
      </c>
    </row>
    <row r="84" spans="4:6" collapsed="1"/>
  </sheetData>
  <mergeCells count="3">
    <mergeCell ref="A4:A5"/>
    <mergeCell ref="J4:K4"/>
    <mergeCell ref="L4:M4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zoomScale="80" zoomScaleNormal="80" workbookViewId="0">
      <pane xSplit="1" ySplit="5" topLeftCell="B26" activePane="bottomRight" state="frozen"/>
      <selection pane="topRight" activeCell="B1" sqref="B1"/>
      <selection pane="bottomLeft" activeCell="A5" sqref="A5"/>
      <selection pane="bottomRight" activeCell="F68" sqref="F68"/>
    </sheetView>
  </sheetViews>
  <sheetFormatPr defaultColWidth="12.5703125" defaultRowHeight="15.75" outlineLevelCol="1"/>
  <cols>
    <col min="1" max="1" width="37.7109375" style="168" bestFit="1" customWidth="1"/>
    <col min="2" max="2" width="19.28515625" style="168" customWidth="1" outlineLevel="1"/>
    <col min="3" max="3" width="16.7109375" style="168" customWidth="1" outlineLevel="1"/>
    <col min="4" max="4" width="19.28515625" style="168" customWidth="1" outlineLevel="1"/>
    <col min="5" max="5" width="16.7109375" style="168" customWidth="1" outlineLevel="1"/>
    <col min="6" max="6" width="19.42578125" style="168" bestFit="1" customWidth="1"/>
    <col min="7" max="7" width="11.5703125" style="168" customWidth="1"/>
    <col min="8" max="8" width="15.5703125" style="168" hidden="1" customWidth="1"/>
    <col min="9" max="9" width="8.42578125" style="168" hidden="1" customWidth="1"/>
    <col min="10" max="10" width="4.7109375" style="168" customWidth="1"/>
    <col min="11" max="11" width="23.28515625" style="168" hidden="1" customWidth="1"/>
    <col min="12" max="12" width="18" style="168" hidden="1" customWidth="1" outlineLevel="1"/>
    <col min="13" max="13" width="14.28515625" style="168" hidden="1" customWidth="1" outlineLevel="1"/>
    <col min="14" max="14" width="17.7109375" style="168" hidden="1" customWidth="1" outlineLevel="1"/>
    <col min="15" max="15" width="14.28515625" style="168" hidden="1" customWidth="1" outlineLevel="1"/>
    <col min="16" max="16" width="19.28515625" style="168" bestFit="1" customWidth="1" collapsed="1"/>
    <col min="17" max="17" width="14.28515625" style="168" customWidth="1"/>
    <col min="18" max="18" width="3.85546875" style="168" customWidth="1"/>
    <col min="19" max="19" width="15.7109375" style="172" bestFit="1" customWidth="1"/>
    <col min="20" max="20" width="13.42578125" style="168" bestFit="1" customWidth="1"/>
    <col min="21" max="21" width="15" style="172" customWidth="1"/>
    <col min="22" max="22" width="24.42578125" style="168" customWidth="1"/>
    <col min="23" max="23" width="18.85546875" style="168" bestFit="1" customWidth="1"/>
    <col min="24" max="24" width="17.42578125" style="168" hidden="1" customWidth="1"/>
    <col min="25" max="25" width="15.42578125" style="168" customWidth="1"/>
    <col min="26" max="16384" width="12.5703125" style="168"/>
  </cols>
  <sheetData>
    <row r="1" spans="1:22">
      <c r="A1" s="168" t="s">
        <v>551</v>
      </c>
      <c r="B1" s="910" t="e">
        <f>B6/F6</f>
        <v>#REF!</v>
      </c>
      <c r="C1" s="910"/>
      <c r="D1" s="910" t="e">
        <f>D6/F6</f>
        <v>#REF!</v>
      </c>
      <c r="E1" s="910"/>
      <c r="F1" s="921" t="e">
        <f>B1+D1</f>
        <v>#REF!</v>
      </c>
      <c r="G1" s="922"/>
      <c r="K1" s="168" t="s">
        <v>551</v>
      </c>
      <c r="L1" s="195">
        <v>0.48983158712160441</v>
      </c>
      <c r="M1" s="195"/>
      <c r="N1" s="195">
        <v>0.51016841287839565</v>
      </c>
      <c r="O1" s="195"/>
      <c r="P1" s="921">
        <v>1</v>
      </c>
      <c r="Q1" s="922"/>
      <c r="S1" s="298"/>
      <c r="T1" s="299"/>
      <c r="U1" s="300"/>
    </row>
    <row r="2" spans="1:22">
      <c r="A2" s="168" t="s">
        <v>455</v>
      </c>
      <c r="B2" s="925" t="e">
        <f>GETPIVOTDATA("Итог",#REF!,"Канал","Сети","Показатель","кг")</f>
        <v>#REF!</v>
      </c>
      <c r="C2" s="925"/>
      <c r="D2" s="925" t="e">
        <f>GETPIVOTDATA("Итог",#REF!,"Канал","Дистрибуторы","Показатель","кг")</f>
        <v>#REF!</v>
      </c>
      <c r="E2" s="925"/>
      <c r="F2" s="923" t="e">
        <f>'Fact 2011- 2013 Plan 2014'!F6</f>
        <v>#REF!</v>
      </c>
      <c r="G2" s="924"/>
      <c r="L2" s="195"/>
      <c r="M2" s="195"/>
      <c r="N2" s="195"/>
      <c r="O2" s="195"/>
      <c r="P2" s="926">
        <v>11169467.350022901</v>
      </c>
      <c r="Q2" s="927"/>
      <c r="S2" s="313"/>
      <c r="T2" s="218"/>
      <c r="U2" s="374"/>
    </row>
    <row r="3" spans="1:22" s="182" customFormat="1">
      <c r="B3" s="907" t="s">
        <v>520</v>
      </c>
      <c r="C3" s="907"/>
      <c r="D3" s="907" t="s">
        <v>521</v>
      </c>
      <c r="E3" s="907"/>
      <c r="F3" s="908" t="s">
        <v>511</v>
      </c>
      <c r="G3" s="909"/>
      <c r="L3" s="182" t="s">
        <v>520</v>
      </c>
      <c r="N3" s="182" t="s">
        <v>521</v>
      </c>
      <c r="P3" s="908" t="s">
        <v>566</v>
      </c>
      <c r="Q3" s="909"/>
      <c r="S3" s="920" t="s">
        <v>565</v>
      </c>
      <c r="T3" s="905"/>
      <c r="U3" s="906"/>
    </row>
    <row r="4" spans="1:22" s="182" customFormat="1">
      <c r="B4" s="207" t="s">
        <v>522</v>
      </c>
      <c r="C4" s="207" t="s">
        <v>523</v>
      </c>
      <c r="D4" s="207" t="s">
        <v>522</v>
      </c>
      <c r="E4" s="207" t="s">
        <v>523</v>
      </c>
      <c r="F4" s="357" t="s">
        <v>522</v>
      </c>
      <c r="G4" s="358" t="s">
        <v>523</v>
      </c>
      <c r="L4" s="182" t="s">
        <v>522</v>
      </c>
      <c r="M4" s="182" t="s">
        <v>523</v>
      </c>
      <c r="N4" s="182" t="s">
        <v>522</v>
      </c>
      <c r="O4" s="182" t="s">
        <v>523</v>
      </c>
      <c r="P4" s="289" t="s">
        <v>522</v>
      </c>
      <c r="Q4" s="290" t="s">
        <v>523</v>
      </c>
      <c r="S4" s="301" t="s">
        <v>456</v>
      </c>
      <c r="T4" s="302" t="s">
        <v>523</v>
      </c>
      <c r="U4" s="303" t="s">
        <v>567</v>
      </c>
    </row>
    <row r="5" spans="1:22" s="182" customFormat="1" hidden="1">
      <c r="A5" s="186" t="s">
        <v>552</v>
      </c>
      <c r="B5" s="208"/>
      <c r="C5" s="207"/>
      <c r="D5" s="208"/>
      <c r="E5" s="207"/>
      <c r="F5" s="274">
        <v>12230575.77541063</v>
      </c>
      <c r="G5" s="358"/>
      <c r="K5" s="182" t="s">
        <v>552</v>
      </c>
      <c r="P5" s="287">
        <v>11216673.033865172</v>
      </c>
      <c r="Q5" s="290"/>
      <c r="S5" s="304"/>
      <c r="T5" s="302"/>
      <c r="U5" s="305"/>
    </row>
    <row r="6" spans="1:22" s="209" customFormat="1" ht="18.75">
      <c r="A6" s="209" t="s">
        <v>524</v>
      </c>
      <c r="B6" s="210" t="e">
        <f>#REF!</f>
        <v>#REF!</v>
      </c>
      <c r="C6" s="211">
        <v>1</v>
      </c>
      <c r="D6" s="210" t="e">
        <f>#REF!</f>
        <v>#REF!</v>
      </c>
      <c r="E6" s="211">
        <v>1</v>
      </c>
      <c r="F6" s="275" t="e">
        <f>B6+D6</f>
        <v>#REF!</v>
      </c>
      <c r="G6" s="276">
        <v>1</v>
      </c>
      <c r="K6" s="209" t="s">
        <v>524</v>
      </c>
      <c r="L6" s="235">
        <v>177421244.30437601</v>
      </c>
      <c r="M6" s="211">
        <v>1</v>
      </c>
      <c r="N6" s="235">
        <v>184787418.77298051</v>
      </c>
      <c r="O6" s="211">
        <v>1</v>
      </c>
      <c r="P6" s="291">
        <v>362208663.07735652</v>
      </c>
      <c r="Q6" s="276">
        <v>1</v>
      </c>
      <c r="S6" s="306" t="e">
        <f>F6-P6</f>
        <v>#REF!</v>
      </c>
      <c r="T6" s="307" t="e">
        <f>F6/P6-1</f>
        <v>#REF!</v>
      </c>
      <c r="U6" s="308">
        <f>G6-Q6</f>
        <v>0</v>
      </c>
    </row>
    <row r="7" spans="1:22" s="212" customFormat="1">
      <c r="A7" s="212" t="s">
        <v>525</v>
      </c>
      <c r="B7" s="213" t="e">
        <f>B6</f>
        <v>#REF!</v>
      </c>
      <c r="D7" s="213" t="e">
        <f>#REF!</f>
        <v>#REF!</v>
      </c>
      <c r="F7" s="274" t="e">
        <f>B7+D7</f>
        <v>#REF!</v>
      </c>
      <c r="G7" s="277"/>
      <c r="K7" s="212" t="s">
        <v>525</v>
      </c>
      <c r="L7" s="214">
        <v>177421244.30437601</v>
      </c>
      <c r="N7" s="214">
        <v>140581844.16941288</v>
      </c>
      <c r="P7" s="274">
        <v>318003088.47378886</v>
      </c>
      <c r="Q7" s="277"/>
      <c r="S7" s="309" t="e">
        <f>F7-P7</f>
        <v>#REF!</v>
      </c>
      <c r="T7" s="310" t="e">
        <f>F7/P7-1</f>
        <v>#REF!</v>
      </c>
      <c r="U7" s="308">
        <f>G7-Q7</f>
        <v>0</v>
      </c>
    </row>
    <row r="8" spans="1:22" s="182" customFormat="1">
      <c r="A8" s="182" t="s">
        <v>526</v>
      </c>
      <c r="B8" s="179" t="e">
        <f>$B$6*C8</f>
        <v>#REF!</v>
      </c>
      <c r="C8" s="215">
        <f>G8</f>
        <v>0.36851812936439865</v>
      </c>
      <c r="D8" s="179" t="e">
        <f>$D$6*E8</f>
        <v>#REF!</v>
      </c>
      <c r="E8" s="215">
        <f>G8</f>
        <v>0.36851812936439865</v>
      </c>
      <c r="F8" s="278" t="e">
        <f>F6*G8</f>
        <v>#REF!</v>
      </c>
      <c r="G8" s="279">
        <v>0.36851812936439865</v>
      </c>
      <c r="K8" s="182" t="s">
        <v>526</v>
      </c>
      <c r="L8" s="181">
        <v>68931391.050634161</v>
      </c>
      <c r="M8" s="236">
        <v>0.38851824831291637</v>
      </c>
      <c r="N8" s="181">
        <v>71793284.251943707</v>
      </c>
      <c r="O8" s="236">
        <v>0.38851824831291637</v>
      </c>
      <c r="P8" s="287">
        <v>140724675.30257785</v>
      </c>
      <c r="Q8" s="292">
        <v>0.38851824831291637</v>
      </c>
      <c r="S8" s="311" t="e">
        <f>F8-P8</f>
        <v>#REF!</v>
      </c>
      <c r="T8" s="312" t="e">
        <f>F8/P8-1</f>
        <v>#REF!</v>
      </c>
      <c r="U8" s="308">
        <f>G8-Q8</f>
        <v>-2.000011894851772E-2</v>
      </c>
    </row>
    <row r="9" spans="1:22" ht="7.5" customHeight="1">
      <c r="B9" s="170"/>
      <c r="C9" s="171"/>
      <c r="D9" s="170"/>
      <c r="E9" s="171"/>
      <c r="F9" s="280"/>
      <c r="G9" s="281"/>
      <c r="L9" s="192"/>
      <c r="M9" s="195"/>
      <c r="N9" s="192"/>
      <c r="O9" s="195"/>
      <c r="P9" s="293"/>
      <c r="Q9" s="294"/>
      <c r="S9" s="313"/>
      <c r="T9" s="260"/>
      <c r="U9" s="296"/>
    </row>
    <row r="10" spans="1:22" s="182" customFormat="1">
      <c r="A10" s="182" t="s">
        <v>553</v>
      </c>
      <c r="B10" s="179" t="e">
        <f t="shared" ref="B10:G10" si="0">SUM(B11:B20)</f>
        <v>#REF!</v>
      </c>
      <c r="C10" s="215" t="e">
        <f t="shared" si="0"/>
        <v>#REF!</v>
      </c>
      <c r="D10" s="179" t="e">
        <f t="shared" si="0"/>
        <v>#REF!</v>
      </c>
      <c r="E10" s="215" t="e">
        <f t="shared" si="0"/>
        <v>#REF!</v>
      </c>
      <c r="F10" s="278" t="e">
        <f>SUM(F11:F20)</f>
        <v>#REF!</v>
      </c>
      <c r="G10" s="279" t="e">
        <f t="shared" si="0"/>
        <v>#REF!</v>
      </c>
      <c r="K10" s="182" t="s">
        <v>553</v>
      </c>
      <c r="L10" s="181">
        <v>58741182.687278591</v>
      </c>
      <c r="M10" s="236">
        <v>0.33108314011429674</v>
      </c>
      <c r="N10" s="181">
        <v>70592765.819919169</v>
      </c>
      <c r="O10" s="236">
        <v>0.38202149415077608</v>
      </c>
      <c r="P10" s="287">
        <v>129333948.50719775</v>
      </c>
      <c r="Q10" s="292">
        <v>0.35707027934772523</v>
      </c>
      <c r="S10" s="314" t="e">
        <f>F10-P10</f>
        <v>#REF!</v>
      </c>
      <c r="T10" s="312" t="e">
        <f>F10/P10-1</f>
        <v>#REF!</v>
      </c>
      <c r="U10" s="308" t="e">
        <f>G10-Q10</f>
        <v>#REF!</v>
      </c>
    </row>
    <row r="11" spans="1:22">
      <c r="A11" s="168" t="str">
        <f>A62</f>
        <v>скидка</v>
      </c>
      <c r="B11" s="170"/>
      <c r="C11" s="171"/>
      <c r="D11" s="170" t="e">
        <f>F11</f>
        <v>#REF!</v>
      </c>
      <c r="E11" s="171" t="e">
        <f>D11/$D$6</f>
        <v>#REF!</v>
      </c>
      <c r="F11" s="280" t="e">
        <f>#REF!</f>
        <v>#REF!</v>
      </c>
      <c r="G11" s="281" t="e">
        <f t="shared" ref="G11:G20" si="1">F11/$F$6</f>
        <v>#REF!</v>
      </c>
      <c r="K11" s="168" t="s">
        <v>546</v>
      </c>
      <c r="L11" s="192"/>
      <c r="M11" s="195"/>
      <c r="N11" s="192">
        <v>44205574.603567638</v>
      </c>
      <c r="O11" s="195">
        <v>0.23922394120281606</v>
      </c>
      <c r="P11" s="293">
        <v>44205574.603567638</v>
      </c>
      <c r="Q11" s="294">
        <v>0.1220444984059553</v>
      </c>
      <c r="S11" s="315" t="e">
        <f>F11-P11</f>
        <v>#REF!</v>
      </c>
      <c r="T11" s="316" t="e">
        <f>F11/P11-1</f>
        <v>#REF!</v>
      </c>
      <c r="U11" s="308" t="e">
        <f>G11-Q11</f>
        <v>#REF!</v>
      </c>
      <c r="V11" s="192"/>
    </row>
    <row r="12" spans="1:22">
      <c r="A12" s="168" t="s">
        <v>527</v>
      </c>
      <c r="B12" s="170" t="e">
        <f>B6*C12</f>
        <v>#REF!</v>
      </c>
      <c r="C12" s="171" t="e">
        <f>G12</f>
        <v>#REF!</v>
      </c>
      <c r="D12" s="170" t="e">
        <f>D6*E12</f>
        <v>#REF!</v>
      </c>
      <c r="E12" s="171" t="e">
        <f>G12</f>
        <v>#REF!</v>
      </c>
      <c r="F12" s="280" t="e">
        <f>'P&amp;L Monthly'!#REF!</f>
        <v>#REF!</v>
      </c>
      <c r="G12" s="281" t="e">
        <f t="shared" si="1"/>
        <v>#REF!</v>
      </c>
      <c r="K12" s="168" t="s">
        <v>527</v>
      </c>
      <c r="L12" s="192">
        <v>14075138.174651634</v>
      </c>
      <c r="M12" s="195">
        <v>7.9331752123804028E-2</v>
      </c>
      <c r="N12" s="192">
        <v>14659509.70169566</v>
      </c>
      <c r="O12" s="195">
        <v>7.9331752123804028E-2</v>
      </c>
      <c r="P12" s="293">
        <v>28734647.876347296</v>
      </c>
      <c r="Q12" s="294">
        <v>7.9331752123804028E-2</v>
      </c>
      <c r="S12" s="315" t="e">
        <f t="shared" ref="S12:S20" si="2">F12-P12</f>
        <v>#REF!</v>
      </c>
      <c r="T12" s="316" t="e">
        <f t="shared" ref="T12:T20" si="3">F12/P12-1</f>
        <v>#REF!</v>
      </c>
      <c r="U12" s="308" t="e">
        <f t="shared" ref="U12:U20" si="4">G12-Q12</f>
        <v>#REF!</v>
      </c>
      <c r="V12" s="192"/>
    </row>
    <row r="13" spans="1:22">
      <c r="A13" s="168" t="str">
        <f>A57</f>
        <v>ретро бонус</v>
      </c>
      <c r="B13" s="170" t="e">
        <f>B6*C13</f>
        <v>#REF!</v>
      </c>
      <c r="C13" s="171">
        <v>0.10548469208374782</v>
      </c>
      <c r="D13" s="170" t="e">
        <f>D6*E13</f>
        <v>#REF!</v>
      </c>
      <c r="E13" s="171">
        <v>1.7081037254368481E-3</v>
      </c>
      <c r="F13" s="280" t="e">
        <f>'Fact 2011- 2013 Plan 2014'!F30</f>
        <v>#REF!</v>
      </c>
      <c r="G13" s="281" t="e">
        <f t="shared" si="1"/>
        <v>#REF!</v>
      </c>
      <c r="K13" s="168" t="s">
        <v>541</v>
      </c>
      <c r="L13" s="192">
        <v>18636248.879999999</v>
      </c>
      <c r="M13" s="195">
        <v>0.10503955686404993</v>
      </c>
      <c r="N13" s="192"/>
      <c r="O13" s="195">
        <v>0</v>
      </c>
      <c r="P13" s="293">
        <v>18636248.879999999</v>
      </c>
      <c r="Q13" s="294">
        <v>5.1451692849267594E-2</v>
      </c>
      <c r="S13" s="315" t="e">
        <f t="shared" si="2"/>
        <v>#REF!</v>
      </c>
      <c r="T13" s="316" t="e">
        <f t="shared" si="3"/>
        <v>#REF!</v>
      </c>
      <c r="U13" s="308" t="e">
        <f t="shared" si="4"/>
        <v>#REF!</v>
      </c>
    </row>
    <row r="14" spans="1:22">
      <c r="A14" s="168" t="str">
        <f>A59</f>
        <v>транши</v>
      </c>
      <c r="B14" s="170" t="e">
        <f>F14</f>
        <v>#REF!</v>
      </c>
      <c r="C14" s="171" t="e">
        <f>B14/$B$6</f>
        <v>#REF!</v>
      </c>
      <c r="D14" s="170"/>
      <c r="E14" s="171" t="e">
        <f>D14/$D$6</f>
        <v>#REF!</v>
      </c>
      <c r="F14" s="280" t="e">
        <f>'Fact 2011- 2013 Plan 2014'!F24</f>
        <v>#REF!</v>
      </c>
      <c r="G14" s="281" t="e">
        <f t="shared" si="1"/>
        <v>#REF!</v>
      </c>
      <c r="K14" s="168" t="s">
        <v>557</v>
      </c>
      <c r="L14" s="192">
        <v>10012367.630000001</v>
      </c>
      <c r="M14" s="195">
        <v>5.6432743830965519E-2</v>
      </c>
      <c r="N14" s="192"/>
      <c r="O14" s="195">
        <v>0</v>
      </c>
      <c r="P14" s="293">
        <v>10012367.630000001</v>
      </c>
      <c r="Q14" s="294">
        <v>2.7642540476348766E-2</v>
      </c>
      <c r="S14" s="315" t="e">
        <f t="shared" si="2"/>
        <v>#REF!</v>
      </c>
      <c r="T14" s="316" t="e">
        <f t="shared" si="3"/>
        <v>#REF!</v>
      </c>
      <c r="U14" s="308" t="e">
        <f t="shared" si="4"/>
        <v>#REF!</v>
      </c>
    </row>
    <row r="15" spans="1:22">
      <c r="A15" s="168" t="str">
        <f>A60</f>
        <v>трейд-марке</v>
      </c>
      <c r="B15" s="170"/>
      <c r="C15" s="171"/>
      <c r="D15" s="170" t="e">
        <f>F15</f>
        <v>#REF!</v>
      </c>
      <c r="E15" s="171" t="e">
        <f>D15/$D$6</f>
        <v>#REF!</v>
      </c>
      <c r="F15" s="280" t="e">
        <f>#REF!*#REF!</f>
        <v>#REF!</v>
      </c>
      <c r="G15" s="281" t="e">
        <f t="shared" si="1"/>
        <v>#REF!</v>
      </c>
      <c r="K15" s="168" t="s">
        <v>544</v>
      </c>
      <c r="L15" s="192"/>
      <c r="M15" s="195">
        <v>0</v>
      </c>
      <c r="N15" s="192">
        <v>2878351.6872828314</v>
      </c>
      <c r="O15" s="195">
        <v>1.5576556598904676E-2</v>
      </c>
      <c r="P15" s="293">
        <v>2878351.6872828314</v>
      </c>
      <c r="Q15" s="294">
        <v>7.9466671581736991E-3</v>
      </c>
      <c r="S15" s="315" t="e">
        <f t="shared" si="2"/>
        <v>#REF!</v>
      </c>
      <c r="T15" s="316" t="e">
        <f t="shared" si="3"/>
        <v>#REF!</v>
      </c>
      <c r="U15" s="308" t="e">
        <f t="shared" si="4"/>
        <v>#REF!</v>
      </c>
    </row>
    <row r="16" spans="1:22">
      <c r="A16" s="168" t="s">
        <v>538</v>
      </c>
      <c r="B16" s="173" t="e">
        <f>F16</f>
        <v>#REF!</v>
      </c>
      <c r="C16" s="171" t="e">
        <f>B16/$B$6</f>
        <v>#REF!</v>
      </c>
      <c r="D16" s="170"/>
      <c r="E16" s="216"/>
      <c r="F16" s="280" t="e">
        <f>$F$6*G16</f>
        <v>#REF!</v>
      </c>
      <c r="G16" s="281">
        <v>2.5957475269398907E-2</v>
      </c>
      <c r="K16" s="168" t="s">
        <v>538</v>
      </c>
      <c r="L16" s="192">
        <v>6897525.9669837784</v>
      </c>
      <c r="M16" s="195">
        <v>3.8876550516975798E-2</v>
      </c>
      <c r="N16" s="192"/>
      <c r="O16" s="237"/>
      <c r="P16" s="293">
        <v>6897525.9669837784</v>
      </c>
      <c r="Q16" s="294">
        <v>1.9042962441543486E-2</v>
      </c>
      <c r="S16" s="315" t="e">
        <f t="shared" si="2"/>
        <v>#REF!</v>
      </c>
      <c r="T16" s="316" t="e">
        <f t="shared" si="3"/>
        <v>#REF!</v>
      </c>
      <c r="U16" s="308">
        <f t="shared" si="4"/>
        <v>6.9145128278554208E-3</v>
      </c>
    </row>
    <row r="17" spans="1:22" s="172" customFormat="1">
      <c r="A17" s="172" t="s">
        <v>534</v>
      </c>
      <c r="B17" s="173" t="e">
        <f>$B$6*C17</f>
        <v>#REF!</v>
      </c>
      <c r="C17" s="174">
        <v>3.0754766953329144E-2</v>
      </c>
      <c r="D17" s="173" t="e">
        <f>$D$6*E17</f>
        <v>#REF!</v>
      </c>
      <c r="E17" s="174">
        <v>3.1549049216431375E-2</v>
      </c>
      <c r="F17" s="280" t="e">
        <f>$F$6*G17</f>
        <v>#REF!</v>
      </c>
      <c r="G17" s="283">
        <v>3.11794786549714E-2</v>
      </c>
      <c r="H17" s="175">
        <f>'[8]P&amp;L month Dream'!AJ65-'[8]модель УДИ'!B15</f>
        <v>17169609.473016225</v>
      </c>
      <c r="I17" s="217" t="e">
        <f>B16/'[8]P&amp;L month Dream'!AJ65</f>
        <v>#REF!</v>
      </c>
      <c r="J17" s="217"/>
      <c r="K17" s="172" t="s">
        <v>534</v>
      </c>
      <c r="L17" s="175">
        <v>8410217.0584256705</v>
      </c>
      <c r="M17" s="199">
        <v>4.7402536778501425E-2</v>
      </c>
      <c r="N17" s="175">
        <v>8759392.4145905543</v>
      </c>
      <c r="O17" s="199">
        <v>4.7402536778501432E-2</v>
      </c>
      <c r="P17" s="295">
        <v>17169609.473016225</v>
      </c>
      <c r="Q17" s="296">
        <v>4.7402536778501432E-2</v>
      </c>
      <c r="S17" s="315" t="e">
        <f t="shared" si="2"/>
        <v>#REF!</v>
      </c>
      <c r="T17" s="316" t="e">
        <f t="shared" si="3"/>
        <v>#REF!</v>
      </c>
      <c r="U17" s="308">
        <f t="shared" si="4"/>
        <v>-1.6223058123530032E-2</v>
      </c>
      <c r="V17" s="217"/>
    </row>
    <row r="18" spans="1:22" s="172" customFormat="1">
      <c r="A18" s="172" t="s">
        <v>578</v>
      </c>
      <c r="B18" s="173"/>
      <c r="C18" s="174"/>
      <c r="D18" s="173"/>
      <c r="E18" s="174"/>
      <c r="F18" s="280"/>
      <c r="G18" s="283"/>
      <c r="H18" s="175"/>
      <c r="I18" s="217"/>
      <c r="J18" s="217"/>
      <c r="L18" s="175"/>
      <c r="M18" s="199"/>
      <c r="N18" s="175"/>
      <c r="O18" s="199"/>
      <c r="P18" s="295"/>
      <c r="Q18" s="296"/>
      <c r="S18" s="315">
        <f>F18-P18</f>
        <v>0</v>
      </c>
      <c r="T18" s="316" t="e">
        <f t="shared" si="3"/>
        <v>#DIV/0!</v>
      </c>
      <c r="U18" s="308">
        <f>G18-Q18</f>
        <v>0</v>
      </c>
      <c r="V18" s="217"/>
    </row>
    <row r="19" spans="1:22" s="172" customFormat="1">
      <c r="A19" s="172" t="s">
        <v>579</v>
      </c>
      <c r="B19" s="173" t="e">
        <f>B6*C19</f>
        <v>#REF!</v>
      </c>
      <c r="C19" s="174">
        <f>E19</f>
        <v>4.7326344996660727E-3</v>
      </c>
      <c r="D19" s="173" t="e">
        <f>D6*E19</f>
        <v>#REF!</v>
      </c>
      <c r="E19" s="174">
        <f>G19</f>
        <v>4.7326344996660727E-3</v>
      </c>
      <c r="F19" s="280" t="e">
        <f>F6*G19</f>
        <v>#REF!</v>
      </c>
      <c r="G19" s="283">
        <v>4.7326344996660727E-3</v>
      </c>
      <c r="H19" s="175"/>
      <c r="I19" s="217"/>
      <c r="J19" s="217"/>
      <c r="L19" s="175"/>
      <c r="M19" s="199"/>
      <c r="N19" s="175"/>
      <c r="O19" s="199"/>
      <c r="P19" s="295"/>
      <c r="Q19" s="296"/>
      <c r="S19" s="315" t="e">
        <f t="shared" si="2"/>
        <v>#REF!</v>
      </c>
      <c r="T19" s="316" t="e">
        <f t="shared" si="3"/>
        <v>#REF!</v>
      </c>
      <c r="U19" s="308">
        <f t="shared" si="4"/>
        <v>4.7326344996660727E-3</v>
      </c>
      <c r="V19" s="217"/>
    </row>
    <row r="20" spans="1:22" ht="16.5" thickBot="1">
      <c r="A20" s="176" t="s">
        <v>549</v>
      </c>
      <c r="B20" s="329" t="e">
        <f>#REF!</f>
        <v>#REF!</v>
      </c>
      <c r="C20" s="177" t="e">
        <f>B20/B6</f>
        <v>#REF!</v>
      </c>
      <c r="D20" s="329" t="e">
        <f>#REF!</f>
        <v>#REF!</v>
      </c>
      <c r="E20" s="177" t="e">
        <f>D20/D6</f>
        <v>#REF!</v>
      </c>
      <c r="F20" s="288" t="e">
        <f>B20+D20</f>
        <v>#REF!</v>
      </c>
      <c r="G20" s="284" t="e">
        <f t="shared" si="1"/>
        <v>#REF!</v>
      </c>
      <c r="H20" s="176"/>
      <c r="I20" s="176"/>
      <c r="J20" s="176"/>
      <c r="K20" s="176" t="s">
        <v>549</v>
      </c>
      <c r="L20" s="331">
        <v>709684.97721750406</v>
      </c>
      <c r="M20" s="332">
        <v>4.0000000000000001E-3</v>
      </c>
      <c r="N20" s="331">
        <v>89937.412782495958</v>
      </c>
      <c r="O20" s="332">
        <v>4.8670744674986791E-4</v>
      </c>
      <c r="P20" s="324">
        <v>799622.39</v>
      </c>
      <c r="Q20" s="325">
        <v>2.207629114130894E-3</v>
      </c>
      <c r="S20" s="315" t="e">
        <f t="shared" si="2"/>
        <v>#REF!</v>
      </c>
      <c r="T20" s="316" t="e">
        <f t="shared" si="3"/>
        <v>#REF!</v>
      </c>
      <c r="U20" s="308" t="e">
        <f t="shared" si="4"/>
        <v>#REF!</v>
      </c>
    </row>
    <row r="21" spans="1:22" ht="13.5" customHeight="1">
      <c r="A21" s="218"/>
      <c r="B21" s="376"/>
      <c r="C21" s="219"/>
      <c r="D21" s="376"/>
      <c r="E21" s="219"/>
      <c r="F21" s="377"/>
      <c r="G21" s="281"/>
      <c r="H21" s="218"/>
      <c r="I21" s="218"/>
      <c r="J21" s="218"/>
      <c r="K21" s="218"/>
      <c r="L21" s="359"/>
      <c r="M21" s="260"/>
      <c r="N21" s="359"/>
      <c r="O21" s="260"/>
      <c r="P21" s="293"/>
      <c r="Q21" s="294"/>
      <c r="S21" s="315"/>
      <c r="T21" s="316"/>
      <c r="U21" s="308"/>
    </row>
    <row r="22" spans="1:22" s="385" customFormat="1" ht="18.75" customHeight="1">
      <c r="A22" s="378" t="s">
        <v>601</v>
      </c>
      <c r="B22" s="379" t="e">
        <f>B6/B2</f>
        <v>#REF!</v>
      </c>
      <c r="C22" s="380">
        <v>1</v>
      </c>
      <c r="D22" s="379" t="e">
        <f>D6/D2</f>
        <v>#REF!</v>
      </c>
      <c r="E22" s="380">
        <v>1</v>
      </c>
      <c r="F22" s="381" t="e">
        <f>F6/F2</f>
        <v>#REF!</v>
      </c>
      <c r="G22" s="382">
        <v>1</v>
      </c>
      <c r="H22" s="378"/>
      <c r="I22" s="378"/>
      <c r="J22" s="378"/>
      <c r="K22" s="378"/>
      <c r="L22" s="383"/>
      <c r="M22" s="384"/>
      <c r="N22" s="383"/>
      <c r="O22" s="384"/>
      <c r="P22" s="381">
        <f>P6/P2</f>
        <v>32.428463392805732</v>
      </c>
      <c r="Q22" s="382">
        <v>1</v>
      </c>
      <c r="S22" s="419" t="e">
        <f t="shared" ref="S22:S29" si="5">F22-P22</f>
        <v>#REF!</v>
      </c>
      <c r="T22" s="316" t="e">
        <f t="shared" ref="T22:T29" si="6">F22/P22-1</f>
        <v>#REF!</v>
      </c>
      <c r="U22" s="308">
        <f t="shared" ref="U22:U29" si="7">G22-Q22</f>
        <v>0</v>
      </c>
    </row>
    <row r="23" spans="1:22" s="212" customFormat="1" ht="18.75" customHeight="1">
      <c r="A23" s="386" t="s">
        <v>602</v>
      </c>
      <c r="B23" s="387" t="e">
        <f>B8/B2</f>
        <v>#REF!</v>
      </c>
      <c r="C23" s="388" t="e">
        <f>B23/$B$22</f>
        <v>#REF!</v>
      </c>
      <c r="D23" s="387" t="e">
        <f>D8/D2</f>
        <v>#REF!</v>
      </c>
      <c r="E23" s="388" t="e">
        <f>D23/$B$22</f>
        <v>#REF!</v>
      </c>
      <c r="F23" s="389" t="e">
        <f>F8/F2</f>
        <v>#REF!</v>
      </c>
      <c r="G23" s="390" t="e">
        <f>F23/$B$22</f>
        <v>#REF!</v>
      </c>
      <c r="H23" s="386"/>
      <c r="I23" s="386"/>
      <c r="J23" s="386"/>
      <c r="K23" s="386"/>
      <c r="L23" s="391"/>
      <c r="M23" s="392"/>
      <c r="N23" s="391"/>
      <c r="O23" s="392"/>
      <c r="P23" s="389">
        <f>P8/P2</f>
        <v>12.599049792852416</v>
      </c>
      <c r="Q23" s="390" t="e">
        <f>P23/$B$22</f>
        <v>#REF!</v>
      </c>
      <c r="S23" s="419" t="e">
        <f t="shared" si="5"/>
        <v>#REF!</v>
      </c>
      <c r="T23" s="316" t="e">
        <f t="shared" si="6"/>
        <v>#REF!</v>
      </c>
      <c r="U23" s="308" t="e">
        <f t="shared" si="7"/>
        <v>#REF!</v>
      </c>
    </row>
    <row r="24" spans="1:22" s="212" customFormat="1" ht="18.75" customHeight="1">
      <c r="A24" s="386" t="s">
        <v>603</v>
      </c>
      <c r="B24" s="393" t="e">
        <f>B10/B2</f>
        <v>#REF!</v>
      </c>
      <c r="C24" s="388" t="e">
        <f>B24/$B$22</f>
        <v>#REF!</v>
      </c>
      <c r="D24" s="394" t="e">
        <f>D10/D2</f>
        <v>#REF!</v>
      </c>
      <c r="E24" s="388" t="e">
        <f>D24/$B$22</f>
        <v>#REF!</v>
      </c>
      <c r="F24" s="395" t="e">
        <f>F10/F2</f>
        <v>#REF!</v>
      </c>
      <c r="G24" s="390" t="e">
        <f>F24/$B$22</f>
        <v>#REF!</v>
      </c>
      <c r="L24" s="214"/>
      <c r="M24" s="396"/>
      <c r="N24" s="214"/>
      <c r="O24" s="396"/>
      <c r="P24" s="395">
        <f>P10/P2</f>
        <v>11.579240482486622</v>
      </c>
      <c r="Q24" s="390" t="e">
        <f t="shared" ref="Q24:Q29" si="8">P24/$B$22</f>
        <v>#REF!</v>
      </c>
      <c r="S24" s="419" t="e">
        <f t="shared" si="5"/>
        <v>#REF!</v>
      </c>
      <c r="T24" s="316" t="e">
        <f t="shared" si="6"/>
        <v>#REF!</v>
      </c>
      <c r="U24" s="308" t="e">
        <f t="shared" si="7"/>
        <v>#REF!</v>
      </c>
    </row>
    <row r="25" spans="1:22" s="212" customFormat="1" ht="5.25" customHeight="1">
      <c r="A25" s="386"/>
      <c r="B25" s="393"/>
      <c r="C25" s="388"/>
      <c r="D25" s="394"/>
      <c r="E25" s="388"/>
      <c r="F25" s="395"/>
      <c r="G25" s="390"/>
      <c r="L25" s="214"/>
      <c r="M25" s="396"/>
      <c r="N25" s="214"/>
      <c r="O25" s="396"/>
      <c r="P25" s="395"/>
      <c r="Q25" s="390"/>
      <c r="S25" s="419"/>
      <c r="T25" s="316"/>
      <c r="U25" s="308"/>
    </row>
    <row r="26" spans="1:22" s="402" customFormat="1" ht="15" customHeight="1">
      <c r="A26" s="397" t="s">
        <v>604</v>
      </c>
      <c r="B26" s="398" t="e">
        <f>B22-B23-B24</f>
        <v>#REF!</v>
      </c>
      <c r="C26" s="399" t="e">
        <f>B26/$B$22</f>
        <v>#REF!</v>
      </c>
      <c r="D26" s="398" t="e">
        <f>D22-D23-D24</f>
        <v>#REF!</v>
      </c>
      <c r="E26" s="399" t="e">
        <f>D26/$B$22</f>
        <v>#REF!</v>
      </c>
      <c r="F26" s="400" t="e">
        <f>F22-F23-F24</f>
        <v>#REF!</v>
      </c>
      <c r="G26" s="401" t="e">
        <f>F26/$B$22</f>
        <v>#REF!</v>
      </c>
      <c r="L26" s="403"/>
      <c r="M26" s="404"/>
      <c r="N26" s="403"/>
      <c r="O26" s="404"/>
      <c r="P26" s="400">
        <f>P22-P23-P24</f>
        <v>8.2501731174666944</v>
      </c>
      <c r="Q26" s="401" t="e">
        <f t="shared" si="8"/>
        <v>#REF!</v>
      </c>
      <c r="S26" s="419" t="e">
        <f t="shared" si="5"/>
        <v>#REF!</v>
      </c>
      <c r="T26" s="316" t="e">
        <f t="shared" si="6"/>
        <v>#REF!</v>
      </c>
      <c r="U26" s="308" t="e">
        <f t="shared" si="7"/>
        <v>#REF!</v>
      </c>
    </row>
    <row r="27" spans="1:22" s="402" customFormat="1" ht="7.5" customHeight="1">
      <c r="A27" s="397"/>
      <c r="B27" s="398"/>
      <c r="C27" s="399"/>
      <c r="D27" s="398"/>
      <c r="E27" s="399"/>
      <c r="F27" s="400"/>
      <c r="G27" s="401"/>
      <c r="L27" s="403"/>
      <c r="M27" s="404"/>
      <c r="N27" s="403"/>
      <c r="O27" s="404"/>
      <c r="P27" s="400"/>
      <c r="Q27" s="401"/>
      <c r="S27" s="419"/>
      <c r="T27" s="316"/>
      <c r="U27" s="308"/>
    </row>
    <row r="28" spans="1:22" s="408" customFormat="1" ht="18.75" customHeight="1">
      <c r="A28" s="405" t="s">
        <v>600</v>
      </c>
      <c r="B28" s="406" t="e">
        <f>B33/B2</f>
        <v>#REF!</v>
      </c>
      <c r="C28" s="388" t="e">
        <f>B28/$B$22</f>
        <v>#REF!</v>
      </c>
      <c r="D28" s="406" t="e">
        <f>D33/D2</f>
        <v>#REF!</v>
      </c>
      <c r="E28" s="388" t="e">
        <f>D28/$B$22</f>
        <v>#REF!</v>
      </c>
      <c r="F28" s="407" t="e">
        <f>F33/F2</f>
        <v>#REF!</v>
      </c>
      <c r="G28" s="390" t="e">
        <f>F28/$B$22</f>
        <v>#REF!</v>
      </c>
      <c r="L28" s="409"/>
      <c r="M28" s="410"/>
      <c r="N28" s="409"/>
      <c r="O28" s="410"/>
      <c r="P28" s="407">
        <f>P33/P2</f>
        <v>7.0342701513164618</v>
      </c>
      <c r="Q28" s="390" t="e">
        <f t="shared" si="8"/>
        <v>#REF!</v>
      </c>
      <c r="S28" s="419" t="e">
        <f t="shared" si="5"/>
        <v>#REF!</v>
      </c>
      <c r="T28" s="316" t="e">
        <f t="shared" si="6"/>
        <v>#REF!</v>
      </c>
      <c r="U28" s="308" t="e">
        <f t="shared" si="7"/>
        <v>#REF!</v>
      </c>
    </row>
    <row r="29" spans="1:22" s="416" customFormat="1" ht="18.75" customHeight="1">
      <c r="A29" s="411" t="s">
        <v>605</v>
      </c>
      <c r="B29" s="412" t="e">
        <f>B26-B28</f>
        <v>#REF!</v>
      </c>
      <c r="C29" s="413" t="e">
        <f>B29/$B$22</f>
        <v>#REF!</v>
      </c>
      <c r="D29" s="412" t="e">
        <f>D26-D28</f>
        <v>#REF!</v>
      </c>
      <c r="E29" s="413" t="e">
        <f>D29/$B$22</f>
        <v>#REF!</v>
      </c>
      <c r="F29" s="414" t="e">
        <f>F26-F28</f>
        <v>#REF!</v>
      </c>
      <c r="G29" s="415" t="e">
        <f>F29/$B$22</f>
        <v>#REF!</v>
      </c>
      <c r="L29" s="417"/>
      <c r="M29" s="418"/>
      <c r="N29" s="417"/>
      <c r="O29" s="418"/>
      <c r="P29" s="414">
        <f>P26-P28</f>
        <v>1.2159029661502325</v>
      </c>
      <c r="Q29" s="415" t="e">
        <f t="shared" si="8"/>
        <v>#REF!</v>
      </c>
      <c r="S29" s="419" t="e">
        <f t="shared" si="5"/>
        <v>#REF!</v>
      </c>
      <c r="T29" s="316" t="e">
        <f t="shared" si="6"/>
        <v>#REF!</v>
      </c>
      <c r="U29" s="308" t="e">
        <f t="shared" si="7"/>
        <v>#REF!</v>
      </c>
    </row>
    <row r="30" spans="1:22" ht="18.75" customHeight="1">
      <c r="A30" s="218"/>
      <c r="B30" s="347"/>
      <c r="C30" s="219"/>
      <c r="D30" s="347"/>
      <c r="E30" s="219"/>
      <c r="F30" s="280"/>
      <c r="G30" s="281"/>
      <c r="L30" s="192"/>
      <c r="M30" s="195"/>
      <c r="N30" s="192"/>
      <c r="O30" s="195"/>
      <c r="P30" s="293"/>
      <c r="Q30" s="294"/>
      <c r="S30" s="313"/>
      <c r="T30" s="260"/>
      <c r="U30" s="296"/>
    </row>
    <row r="31" spans="1:22" s="221" customFormat="1">
      <c r="A31" s="178" t="s">
        <v>535</v>
      </c>
      <c r="B31" s="220" t="e">
        <f t="shared" ref="B31:G31" si="9">B6-B8-B10</f>
        <v>#REF!</v>
      </c>
      <c r="C31" s="180" t="e">
        <f t="shared" si="9"/>
        <v>#REF!</v>
      </c>
      <c r="D31" s="220" t="e">
        <f t="shared" si="9"/>
        <v>#REF!</v>
      </c>
      <c r="E31" s="180" t="e">
        <f t="shared" si="9"/>
        <v>#REF!</v>
      </c>
      <c r="F31" s="285" t="e">
        <f t="shared" si="9"/>
        <v>#REF!</v>
      </c>
      <c r="G31" s="286" t="e">
        <f t="shared" si="9"/>
        <v>#REF!</v>
      </c>
      <c r="K31" s="221" t="s">
        <v>535</v>
      </c>
      <c r="L31" s="220">
        <v>49748670.566463254</v>
      </c>
      <c r="M31" s="227">
        <v>0.28039861157278689</v>
      </c>
      <c r="N31" s="220">
        <v>42401368.701117635</v>
      </c>
      <c r="O31" s="227">
        <v>0.22946025753630755</v>
      </c>
      <c r="P31" s="285">
        <v>92150039.267580912</v>
      </c>
      <c r="Q31" s="297">
        <v>0.2544114723393584</v>
      </c>
      <c r="S31" s="317" t="e">
        <f>F31-P31</f>
        <v>#REF!</v>
      </c>
      <c r="T31" s="318" t="e">
        <f>F31/P31-1</f>
        <v>#REF!</v>
      </c>
      <c r="U31" s="319" t="e">
        <f>G31-Q31</f>
        <v>#REF!</v>
      </c>
    </row>
    <row r="32" spans="1:22" s="182" customFormat="1">
      <c r="A32" s="178"/>
      <c r="B32" s="179"/>
      <c r="C32" s="180"/>
      <c r="D32" s="179"/>
      <c r="E32" s="180"/>
      <c r="F32" s="287"/>
      <c r="G32" s="286"/>
      <c r="L32" s="181"/>
      <c r="M32" s="236"/>
      <c r="N32" s="181"/>
      <c r="O32" s="236"/>
      <c r="P32" s="287"/>
      <c r="Q32" s="292"/>
      <c r="S32" s="304"/>
      <c r="T32" s="320"/>
      <c r="U32" s="321"/>
    </row>
    <row r="33" spans="1:23" s="182" customFormat="1">
      <c r="A33" s="182" t="s">
        <v>554</v>
      </c>
      <c r="B33" s="179" t="e">
        <f t="shared" ref="B33:G33" si="10">SUM(B34:B47)</f>
        <v>#REF!</v>
      </c>
      <c r="C33" s="215" t="e">
        <f t="shared" si="10"/>
        <v>#REF!</v>
      </c>
      <c r="D33" s="179" t="e">
        <f t="shared" si="10"/>
        <v>#REF!</v>
      </c>
      <c r="E33" s="215" t="e">
        <f t="shared" si="10"/>
        <v>#REF!</v>
      </c>
      <c r="F33" s="278" t="e">
        <f t="shared" si="10"/>
        <v>#REF!</v>
      </c>
      <c r="G33" s="279" t="e">
        <f t="shared" si="10"/>
        <v>#REF!</v>
      </c>
      <c r="K33" s="182" t="s">
        <v>554</v>
      </c>
      <c r="L33" s="181">
        <v>42610154.531852655</v>
      </c>
      <c r="M33" s="236">
        <v>0.24933680984776932</v>
      </c>
      <c r="N33" s="181">
        <v>35958896.254517213</v>
      </c>
      <c r="O33" s="236">
        <v>0.19459602008237534</v>
      </c>
      <c r="P33" s="287">
        <v>78569050.786369875</v>
      </c>
      <c r="Q33" s="292">
        <v>0.21691654230144672</v>
      </c>
      <c r="R33" s="181"/>
      <c r="S33" s="311" t="e">
        <f>F33-P33</f>
        <v>#REF!</v>
      </c>
      <c r="T33" s="312" t="e">
        <f>F33/P33-1</f>
        <v>#REF!</v>
      </c>
      <c r="U33" s="308" t="e">
        <f>G33-Q33</f>
        <v>#REF!</v>
      </c>
      <c r="V33" s="182" t="s">
        <v>555</v>
      </c>
      <c r="W33" s="181" t="e">
        <f>F33/G31</f>
        <v>#REF!</v>
      </c>
    </row>
    <row r="34" spans="1:23">
      <c r="A34" s="168" t="str">
        <f>A60</f>
        <v>трейд-марке</v>
      </c>
      <c r="B34" s="170" t="e">
        <f>#REF!</f>
        <v>#REF!</v>
      </c>
      <c r="C34" s="171" t="e">
        <f>B34/B6</f>
        <v>#REF!</v>
      </c>
      <c r="D34" s="170"/>
      <c r="E34" s="171"/>
      <c r="F34" s="282" t="e">
        <f>B34</f>
        <v>#REF!</v>
      </c>
      <c r="G34" s="281" t="e">
        <f t="shared" ref="G34:G47" si="11">F34/$F$6</f>
        <v>#REF!</v>
      </c>
      <c r="H34" s="222"/>
      <c r="K34" s="168" t="s">
        <v>544</v>
      </c>
      <c r="L34" s="192">
        <v>308837.75271716854</v>
      </c>
      <c r="M34" s="195">
        <v>1.740703340955834E-3</v>
      </c>
      <c r="N34" s="192"/>
      <c r="O34" s="195"/>
      <c r="P34" s="293">
        <v>308837.75271716854</v>
      </c>
      <c r="Q34" s="294">
        <v>8.5265148020827533E-4</v>
      </c>
      <c r="R34" s="223"/>
      <c r="S34" s="315" t="e">
        <f>F34-P34</f>
        <v>#REF!</v>
      </c>
      <c r="T34" s="316" t="e">
        <f>F34/P34-1</f>
        <v>#REF!</v>
      </c>
      <c r="U34" s="322" t="e">
        <f>G34-Q34</f>
        <v>#REF!</v>
      </c>
      <c r="V34" s="182" t="s">
        <v>556</v>
      </c>
      <c r="W34" s="223" t="e">
        <f>F6/W33-100%</f>
        <v>#REF!</v>
      </c>
    </row>
    <row r="35" spans="1:23">
      <c r="A35" s="168" t="str">
        <f>A61</f>
        <v>размещение ТО</v>
      </c>
      <c r="B35" s="170" t="e">
        <f>'Fact 2011- 2013 Plan 2014'!F26</f>
        <v>#REF!</v>
      </c>
      <c r="C35" s="171" t="e">
        <f>B35/$B$6</f>
        <v>#REF!</v>
      </c>
      <c r="D35" s="232">
        <v>840000</v>
      </c>
      <c r="E35" s="171" t="e">
        <f>D35/D6</f>
        <v>#REF!</v>
      </c>
      <c r="F35" s="282" t="e">
        <f>'Fact 2011- 2013 Plan 2014'!F26+D35</f>
        <v>#REF!</v>
      </c>
      <c r="G35" s="281" t="e">
        <f t="shared" si="11"/>
        <v>#REF!</v>
      </c>
      <c r="H35" s="222"/>
      <c r="K35" s="168" t="s">
        <v>545</v>
      </c>
      <c r="L35" s="192">
        <v>3303490.0999999996</v>
      </c>
      <c r="M35" s="195">
        <v>1.8619473180633762E-2</v>
      </c>
      <c r="N35" s="192"/>
      <c r="O35" s="195"/>
      <c r="P35" s="293">
        <v>3303490.0999999996</v>
      </c>
      <c r="Q35" s="294">
        <v>9.1204060994379832E-3</v>
      </c>
      <c r="S35" s="315" t="e">
        <f>F35-P35</f>
        <v>#REF!</v>
      </c>
      <c r="T35" s="316" t="e">
        <f>F35/P35-1</f>
        <v>#REF!</v>
      </c>
      <c r="U35" s="322" t="e">
        <f>G35-Q35</f>
        <v>#REF!</v>
      </c>
    </row>
    <row r="36" spans="1:23" s="172" customFormat="1">
      <c r="A36" s="172" t="str">
        <f>A63</f>
        <v>торговая команда</v>
      </c>
      <c r="B36" s="173" t="e">
        <f>SUM(#REF!)</f>
        <v>#REF!</v>
      </c>
      <c r="C36" s="174" t="e">
        <f>B36/$B$6</f>
        <v>#REF!</v>
      </c>
      <c r="D36" s="173" t="e">
        <f>SUM(#REF!)</f>
        <v>#REF!</v>
      </c>
      <c r="E36" s="174" t="e">
        <f>D36/$D$6</f>
        <v>#REF!</v>
      </c>
      <c r="F36" s="282" t="e">
        <f>B36+D36</f>
        <v>#REF!</v>
      </c>
      <c r="G36" s="283" t="e">
        <f t="shared" si="11"/>
        <v>#REF!</v>
      </c>
      <c r="H36" s="234"/>
      <c r="K36" s="168" t="s">
        <v>547</v>
      </c>
      <c r="L36" s="175">
        <v>8493520.6971506346</v>
      </c>
      <c r="M36" s="199">
        <v>4.7872061378284148E-2</v>
      </c>
      <c r="N36" s="175">
        <v>3220000</v>
      </c>
      <c r="O36" s="199">
        <v>1.7425428751488281E-2</v>
      </c>
      <c r="P36" s="295">
        <v>11713520.697150635</v>
      </c>
      <c r="Q36" s="296">
        <v>3.2339151133580123E-2</v>
      </c>
      <c r="S36" s="315" t="e">
        <f t="shared" ref="S36:S46" si="12">F36-P36</f>
        <v>#REF!</v>
      </c>
      <c r="T36" s="316" t="e">
        <f t="shared" ref="T36:T46" si="13">F36/P36-1</f>
        <v>#REF!</v>
      </c>
      <c r="U36" s="322" t="e">
        <f t="shared" ref="U36:U46" si="14">G36-Q36</f>
        <v>#REF!</v>
      </c>
    </row>
    <row r="37" spans="1:23">
      <c r="A37" s="168" t="s">
        <v>542</v>
      </c>
      <c r="B37" s="170" t="e">
        <f>F37</f>
        <v>#REF!</v>
      </c>
      <c r="C37" s="171" t="e">
        <f>B37/$B$6</f>
        <v>#REF!</v>
      </c>
      <c r="D37" s="170"/>
      <c r="E37" s="171"/>
      <c r="F37" s="282" t="e">
        <f>'Fact 2011- 2013 Plan 2014'!F22+'Fact 2011- 2013 Plan 2014'!F23</f>
        <v>#REF!</v>
      </c>
      <c r="G37" s="281" t="e">
        <f t="shared" si="11"/>
        <v>#REF!</v>
      </c>
      <c r="H37" s="222"/>
      <c r="K37" s="172" t="s">
        <v>542</v>
      </c>
      <c r="L37" s="192">
        <v>2429416.3299999996</v>
      </c>
      <c r="M37" s="195">
        <v>1.3692928034211059E-2</v>
      </c>
      <c r="N37" s="192"/>
      <c r="O37" s="195"/>
      <c r="P37" s="293">
        <v>2429416.3299999996</v>
      </c>
      <c r="Q37" s="294">
        <v>6.7072286713395143E-3</v>
      </c>
      <c r="S37" s="315" t="e">
        <f t="shared" si="12"/>
        <v>#REF!</v>
      </c>
      <c r="T37" s="316" t="e">
        <f t="shared" si="13"/>
        <v>#REF!</v>
      </c>
      <c r="U37" s="322" t="e">
        <f t="shared" si="14"/>
        <v>#REF!</v>
      </c>
    </row>
    <row r="38" spans="1:23">
      <c r="A38" s="168" t="s">
        <v>529</v>
      </c>
      <c r="B38" s="170" t="e">
        <f t="shared" ref="B38:B47" si="15">$B$6*C38</f>
        <v>#REF!</v>
      </c>
      <c r="C38" s="171" t="e">
        <f t="shared" ref="C38:C43" si="16">G38</f>
        <v>#REF!</v>
      </c>
      <c r="D38" s="170" t="e">
        <f>$D$6*E38</f>
        <v>#REF!</v>
      </c>
      <c r="E38" s="171" t="e">
        <f t="shared" ref="E38:E43" si="17">G38</f>
        <v>#REF!</v>
      </c>
      <c r="F38" s="282" t="e">
        <f>'Fact 2011- 2013 Plan 2014'!F17</f>
        <v>#REF!</v>
      </c>
      <c r="G38" s="281" t="e">
        <f t="shared" si="11"/>
        <v>#REF!</v>
      </c>
      <c r="K38" s="168" t="s">
        <v>529</v>
      </c>
      <c r="L38" s="192">
        <v>3529109.0330658732</v>
      </c>
      <c r="M38" s="195">
        <v>1.9891129987858108E-2</v>
      </c>
      <c r="N38" s="192">
        <v>3675630.5669341269</v>
      </c>
      <c r="O38" s="195">
        <v>1.9891129987858108E-2</v>
      </c>
      <c r="P38" s="293">
        <v>7204739.5999999996</v>
      </c>
      <c r="Q38" s="294">
        <v>1.9891129987858108E-2</v>
      </c>
      <c r="S38" s="315" t="e">
        <f t="shared" si="12"/>
        <v>#REF!</v>
      </c>
      <c r="T38" s="316" t="e">
        <f t="shared" si="13"/>
        <v>#REF!</v>
      </c>
      <c r="U38" s="322" t="e">
        <f t="shared" si="14"/>
        <v>#REF!</v>
      </c>
    </row>
    <row r="39" spans="1:23">
      <c r="A39" s="168" t="s">
        <v>530</v>
      </c>
      <c r="B39" s="170" t="e">
        <f t="shared" si="15"/>
        <v>#REF!</v>
      </c>
      <c r="C39" s="171" t="e">
        <f t="shared" si="16"/>
        <v>#REF!</v>
      </c>
      <c r="D39" s="170" t="e">
        <f>$D$6*E39</f>
        <v>#REF!</v>
      </c>
      <c r="E39" s="171" t="e">
        <f t="shared" si="17"/>
        <v>#REF!</v>
      </c>
      <c r="F39" s="282" t="e">
        <f>'P&amp;L Monthly'!#REF!+Модель!B46</f>
        <v>#REF!</v>
      </c>
      <c r="G39" s="281" t="e">
        <f t="shared" si="11"/>
        <v>#REF!</v>
      </c>
      <c r="K39" s="168" t="s">
        <v>530</v>
      </c>
      <c r="L39" s="192">
        <v>6359583.7097863909</v>
      </c>
      <c r="M39" s="195">
        <v>3.5844544630045383E-2</v>
      </c>
      <c r="N39" s="192">
        <v>6623620.8792789858</v>
      </c>
      <c r="O39" s="195">
        <v>3.5844544630045383E-2</v>
      </c>
      <c r="P39" s="293">
        <v>12983204.589065377</v>
      </c>
      <c r="Q39" s="294">
        <v>3.5844544630045383E-2</v>
      </c>
      <c r="S39" s="315" t="e">
        <f t="shared" si="12"/>
        <v>#REF!</v>
      </c>
      <c r="T39" s="316" t="e">
        <f t="shared" si="13"/>
        <v>#REF!</v>
      </c>
      <c r="U39" s="322" t="e">
        <f t="shared" si="14"/>
        <v>#REF!</v>
      </c>
    </row>
    <row r="40" spans="1:23">
      <c r="A40" s="168" t="str">
        <f>A64</f>
        <v>амортизация ТО</v>
      </c>
      <c r="B40" s="170"/>
      <c r="C40" s="171"/>
      <c r="D40" s="170">
        <f>F40</f>
        <v>6000000</v>
      </c>
      <c r="E40" s="171" t="e">
        <f>D40/$D$6</f>
        <v>#REF!</v>
      </c>
      <c r="F40" s="282">
        <v>6000000</v>
      </c>
      <c r="G40" s="281" t="e">
        <f t="shared" si="11"/>
        <v>#REF!</v>
      </c>
      <c r="K40" s="168" t="s">
        <v>548</v>
      </c>
      <c r="L40" s="192"/>
      <c r="M40" s="195"/>
      <c r="N40" s="192">
        <v>6000000</v>
      </c>
      <c r="O40" s="195">
        <v>3.2469743015195555E-2</v>
      </c>
      <c r="P40" s="293">
        <v>6000000</v>
      </c>
      <c r="Q40" s="294">
        <v>1.6565037260631688E-2</v>
      </c>
      <c r="S40" s="315">
        <f t="shared" si="12"/>
        <v>0</v>
      </c>
      <c r="T40" s="316">
        <f t="shared" si="13"/>
        <v>0</v>
      </c>
      <c r="U40" s="322" t="e">
        <f t="shared" si="14"/>
        <v>#REF!</v>
      </c>
    </row>
    <row r="41" spans="1:23">
      <c r="A41" s="168" t="s">
        <v>531</v>
      </c>
      <c r="B41" s="170" t="e">
        <f t="shared" si="15"/>
        <v>#REF!</v>
      </c>
      <c r="C41" s="171" t="e">
        <f t="shared" si="16"/>
        <v>#REF!</v>
      </c>
      <c r="D41" s="170" t="e">
        <f>$D$6*E41</f>
        <v>#REF!</v>
      </c>
      <c r="E41" s="171" t="e">
        <f t="shared" si="17"/>
        <v>#REF!</v>
      </c>
      <c r="F41" s="282" t="e">
        <f>'Fact 2011- 2013 Plan 2014'!F49-'Модель УДИ (2)'!F40</f>
        <v>#REF!</v>
      </c>
      <c r="G41" s="281" t="e">
        <f t="shared" si="11"/>
        <v>#REF!</v>
      </c>
      <c r="K41" s="168" t="s">
        <v>531</v>
      </c>
      <c r="L41" s="192">
        <v>6941505.3060703762</v>
      </c>
      <c r="M41" s="195">
        <v>3.9124431424693643E-2</v>
      </c>
      <c r="N41" s="192">
        <v>7229702.6939296229</v>
      </c>
      <c r="O41" s="195">
        <v>3.9124431424693643E-2</v>
      </c>
      <c r="P41" s="293">
        <v>14171208</v>
      </c>
      <c r="Q41" s="294">
        <v>3.9124431424693643E-2</v>
      </c>
      <c r="S41" s="315" t="e">
        <f t="shared" si="12"/>
        <v>#REF!</v>
      </c>
      <c r="T41" s="316" t="e">
        <f t="shared" si="13"/>
        <v>#REF!</v>
      </c>
      <c r="U41" s="322" t="e">
        <f t="shared" si="14"/>
        <v>#REF!</v>
      </c>
    </row>
    <row r="42" spans="1:23">
      <c r="A42" s="168" t="s">
        <v>563</v>
      </c>
      <c r="B42" s="170"/>
      <c r="C42" s="171"/>
      <c r="D42" s="170" t="e">
        <f>F42</f>
        <v>#REF!</v>
      </c>
      <c r="E42" s="171"/>
      <c r="F42" s="282" t="e">
        <f>'Модель УДИ'!F32</f>
        <v>#REF!</v>
      </c>
      <c r="G42" s="281" t="e">
        <f t="shared" si="11"/>
        <v>#REF!</v>
      </c>
      <c r="L42" s="192"/>
      <c r="M42" s="195"/>
      <c r="N42" s="192">
        <v>780933.77</v>
      </c>
      <c r="O42" s="195">
        <v>4.2261198039646392E-3</v>
      </c>
      <c r="P42" s="293">
        <v>780933.77</v>
      </c>
      <c r="Q42" s="294">
        <v>2.1560328330225962E-3</v>
      </c>
      <c r="S42" s="315" t="e">
        <f t="shared" si="12"/>
        <v>#REF!</v>
      </c>
      <c r="T42" s="316" t="e">
        <f t="shared" si="13"/>
        <v>#REF!</v>
      </c>
      <c r="U42" s="322" t="e">
        <f t="shared" si="14"/>
        <v>#REF!</v>
      </c>
    </row>
    <row r="43" spans="1:23">
      <c r="A43" s="168" t="s">
        <v>532</v>
      </c>
      <c r="B43" s="170" t="e">
        <f t="shared" si="15"/>
        <v>#REF!</v>
      </c>
      <c r="C43" s="171" t="e">
        <f t="shared" si="16"/>
        <v>#REF!</v>
      </c>
      <c r="D43" s="170" t="e">
        <f>$D$6*E43</f>
        <v>#REF!</v>
      </c>
      <c r="E43" s="171" t="e">
        <f t="shared" si="17"/>
        <v>#REF!</v>
      </c>
      <c r="F43" s="282" t="e">
        <f>'Fact 2011- 2013 Plan 2014'!F51</f>
        <v>#REF!</v>
      </c>
      <c r="G43" s="281" t="e">
        <f t="shared" si="11"/>
        <v>#REF!</v>
      </c>
      <c r="K43" s="168" t="s">
        <v>532</v>
      </c>
      <c r="L43" s="192">
        <v>2649566.7298728344</v>
      </c>
      <c r="M43" s="195">
        <v>1.4933762528050787E-2</v>
      </c>
      <c r="N43" s="192">
        <v>2759571.4301271648</v>
      </c>
      <c r="O43" s="195">
        <v>1.4933762528050787E-2</v>
      </c>
      <c r="P43" s="293">
        <v>5409138.1599999992</v>
      </c>
      <c r="Q43" s="294">
        <v>1.4933762528050787E-2</v>
      </c>
      <c r="S43" s="315" t="e">
        <f t="shared" si="12"/>
        <v>#REF!</v>
      </c>
      <c r="T43" s="316" t="e">
        <f t="shared" si="13"/>
        <v>#REF!</v>
      </c>
      <c r="U43" s="322" t="e">
        <f t="shared" si="14"/>
        <v>#REF!</v>
      </c>
    </row>
    <row r="44" spans="1:23">
      <c r="A44" s="168" t="str">
        <f>A54</f>
        <v>аренда для сетей</v>
      </c>
      <c r="B44" s="173" t="e">
        <f>B6*C44</f>
        <v>#REF!</v>
      </c>
      <c r="C44" s="171">
        <v>1.8763873421538901E-2</v>
      </c>
      <c r="D44" s="170"/>
      <c r="E44" s="171"/>
      <c r="F44" s="282" t="e">
        <f>B44+D54</f>
        <v>#REF!</v>
      </c>
      <c r="G44" s="281" t="e">
        <f t="shared" si="11"/>
        <v>#REF!</v>
      </c>
      <c r="K44" s="168" t="s">
        <v>539</v>
      </c>
      <c r="L44" s="192">
        <v>3151688.5261148708</v>
      </c>
      <c r="M44" s="195">
        <v>1.7763873421538932E-2</v>
      </c>
      <c r="N44" s="192"/>
      <c r="O44" s="195"/>
      <c r="P44" s="293">
        <v>3151688.5261148708</v>
      </c>
      <c r="Q44" s="294">
        <v>8.7013063114997E-3</v>
      </c>
      <c r="S44" s="315" t="e">
        <f t="shared" si="12"/>
        <v>#REF!</v>
      </c>
      <c r="T44" s="316" t="e">
        <f t="shared" si="13"/>
        <v>#REF!</v>
      </c>
      <c r="U44" s="322" t="e">
        <f t="shared" si="14"/>
        <v>#REF!</v>
      </c>
    </row>
    <row r="45" spans="1:23" s="172" customFormat="1">
      <c r="A45" s="172" t="s">
        <v>533</v>
      </c>
      <c r="B45" s="173" t="e">
        <f>B6*C45</f>
        <v>#REF!</v>
      </c>
      <c r="C45" s="171" t="e">
        <f>G45</f>
        <v>#REF!</v>
      </c>
      <c r="D45" s="173" t="e">
        <f>D6*E45</f>
        <v>#REF!</v>
      </c>
      <c r="E45" s="174" t="e">
        <f>G45</f>
        <v>#REF!</v>
      </c>
      <c r="F45" s="282" t="e">
        <f>'P&amp;L Monthly'!#REF!-'Модель УДИ (2)'!F44</f>
        <v>#REF!</v>
      </c>
      <c r="G45" s="283" t="e">
        <f t="shared" si="11"/>
        <v>#REF!</v>
      </c>
      <c r="H45" s="175">
        <f>'[8]P&amp;L month Dream'!AJ68-'[8]модель УДИ'!B38</f>
        <v>3484079.8524995563</v>
      </c>
      <c r="I45" s="217" t="e">
        <f>B44/'[8]P&amp;L month Dream'!AJ68</f>
        <v>#REF!</v>
      </c>
      <c r="J45" s="217"/>
      <c r="K45" s="168" t="s">
        <v>533</v>
      </c>
      <c r="L45" s="192">
        <v>1468382.7573954202</v>
      </c>
      <c r="M45" s="195">
        <v>1.74492930187461E-2</v>
      </c>
      <c r="N45" s="192">
        <v>1529347.0664897086</v>
      </c>
      <c r="O45" s="195">
        <v>8.2762510383273379E-3</v>
      </c>
      <c r="P45" s="293">
        <v>2997729.8238851288</v>
      </c>
      <c r="Q45" s="294">
        <v>8.2762510383273379E-3</v>
      </c>
      <c r="S45" s="315" t="e">
        <f t="shared" si="12"/>
        <v>#REF!</v>
      </c>
      <c r="T45" s="316" t="e">
        <f t="shared" si="13"/>
        <v>#REF!</v>
      </c>
      <c r="U45" s="322" t="e">
        <f t="shared" si="14"/>
        <v>#REF!</v>
      </c>
      <c r="V45" s="217"/>
    </row>
    <row r="46" spans="1:23">
      <c r="A46" s="168" t="s">
        <v>528</v>
      </c>
      <c r="B46" s="170" t="e">
        <f>$B$6*C46</f>
        <v>#REF!</v>
      </c>
      <c r="C46" s="171" t="e">
        <f>G46</f>
        <v>#REF!</v>
      </c>
      <c r="D46" s="170" t="e">
        <f>$D$6*E46</f>
        <v>#REF!</v>
      </c>
      <c r="E46" s="171" t="e">
        <f>G46</f>
        <v>#REF!</v>
      </c>
      <c r="F46" s="282" t="e">
        <f>'P&amp;L Monthly'!#REF!+'P&amp;L Monthly'!#REF!+'P&amp;L Monthly'!#REF!+'P&amp;L Monthly'!#REF!+'P&amp;L Monthly'!#REF!+'P&amp;L Monthly'!#REF!+'P&amp;L Monthly'!#REF!+'P&amp;L Monthly'!#REF!+'P&amp;L Monthly'!#REF!+'P&amp;L Monthly'!#REF!+'P&amp;L Monthly'!#REF!</f>
        <v>#REF!</v>
      </c>
      <c r="G46" s="281" t="e">
        <f t="shared" si="11"/>
        <v>#REF!</v>
      </c>
      <c r="H46" s="222"/>
      <c r="K46" s="168" t="s">
        <v>528</v>
      </c>
      <c r="L46" s="192">
        <v>2665338.4975004434</v>
      </c>
      <c r="M46" s="195">
        <v>1.5022656998887388E-2</v>
      </c>
      <c r="N46" s="192">
        <v>2775998.0099362503</v>
      </c>
      <c r="O46" s="195">
        <v>1.5022656998887388E-2</v>
      </c>
      <c r="P46" s="293">
        <v>5441336.5074366936</v>
      </c>
      <c r="Q46" s="294">
        <v>1.5022656998887388E-2</v>
      </c>
      <c r="S46" s="315" t="e">
        <f t="shared" si="12"/>
        <v>#REF!</v>
      </c>
      <c r="T46" s="316" t="e">
        <f t="shared" si="13"/>
        <v>#REF!</v>
      </c>
      <c r="U46" s="322" t="e">
        <f t="shared" si="14"/>
        <v>#REF!</v>
      </c>
    </row>
    <row r="47" spans="1:23" ht="16.5" thickBot="1">
      <c r="A47" s="176" t="s">
        <v>510</v>
      </c>
      <c r="B47" s="333" t="e">
        <f t="shared" si="15"/>
        <v>#REF!</v>
      </c>
      <c r="C47" s="177" t="e">
        <f>G47</f>
        <v>#REF!</v>
      </c>
      <c r="D47" s="333" t="e">
        <f>$D$6*E47</f>
        <v>#REF!</v>
      </c>
      <c r="E47" s="177" t="e">
        <f>G47</f>
        <v>#REF!</v>
      </c>
      <c r="F47" s="330" t="e">
        <f>Модель!F17</f>
        <v>#REF!</v>
      </c>
      <c r="G47" s="284" t="e">
        <f t="shared" si="11"/>
        <v>#REF!</v>
      </c>
      <c r="H47" s="176"/>
      <c r="I47" s="176"/>
      <c r="J47" s="176"/>
      <c r="K47" s="176"/>
      <c r="L47" s="333">
        <v>1309715.0921786446</v>
      </c>
      <c r="M47" s="177">
        <v>7.3819519038642043E-3</v>
      </c>
      <c r="N47" s="333">
        <v>1364091.8378213556</v>
      </c>
      <c r="O47" s="177">
        <v>7.3819519038642043E-3</v>
      </c>
      <c r="P47" s="324">
        <v>2673806.9300000002</v>
      </c>
      <c r="Q47" s="325">
        <v>7.3819519038642043E-3</v>
      </c>
      <c r="S47" s="315" t="e">
        <f>F47-P47</f>
        <v>#REF!</v>
      </c>
      <c r="T47" s="316" t="e">
        <f>F47/P47-1</f>
        <v>#REF!</v>
      </c>
      <c r="U47" s="322" t="e">
        <f>G47-Q47</f>
        <v>#REF!</v>
      </c>
    </row>
    <row r="48" spans="1:23">
      <c r="A48" s="218"/>
      <c r="B48" s="170"/>
      <c r="C48" s="219"/>
      <c r="D48" s="170"/>
      <c r="E48" s="219"/>
      <c r="F48" s="170"/>
      <c r="G48" s="219"/>
      <c r="K48" s="218"/>
      <c r="L48" s="192"/>
      <c r="M48" s="195"/>
      <c r="N48" s="192"/>
      <c r="O48" s="195"/>
      <c r="P48" s="192"/>
      <c r="Q48" s="195"/>
      <c r="T48" s="260"/>
      <c r="U48" s="271"/>
    </row>
    <row r="49" spans="1:24" s="184" customFormat="1">
      <c r="A49" s="183" t="s">
        <v>535</v>
      </c>
      <c r="B49" s="196" t="e">
        <f t="shared" ref="B49:G49" si="18">B31-SUM(B33)</f>
        <v>#REF!</v>
      </c>
      <c r="C49" s="253" t="e">
        <f t="shared" si="18"/>
        <v>#REF!</v>
      </c>
      <c r="D49" s="196" t="e">
        <f t="shared" si="18"/>
        <v>#REF!</v>
      </c>
      <c r="E49" s="253" t="e">
        <f t="shared" si="18"/>
        <v>#REF!</v>
      </c>
      <c r="F49" s="196" t="e">
        <f t="shared" si="18"/>
        <v>#REF!</v>
      </c>
      <c r="G49" s="253" t="e">
        <f t="shared" si="18"/>
        <v>#REF!</v>
      </c>
      <c r="K49" s="168" t="s">
        <v>535</v>
      </c>
      <c r="L49" s="238">
        <v>7138516.0346105993</v>
      </c>
      <c r="M49" s="197">
        <v>3.1061801725017574E-2</v>
      </c>
      <c r="N49" s="238">
        <v>6442472.4466004223</v>
      </c>
      <c r="O49" s="197">
        <v>3.4864237453932218E-2</v>
      </c>
      <c r="P49" s="238">
        <v>13580988.481211036</v>
      </c>
      <c r="Q49" s="197">
        <v>3.7494930037911683E-2</v>
      </c>
      <c r="S49" s="272" t="e">
        <f>F49-P48</f>
        <v>#REF!</v>
      </c>
      <c r="T49" s="258" t="e">
        <f>F49/P49-1</f>
        <v>#REF!</v>
      </c>
      <c r="U49" s="258" t="e">
        <f>G49-Q48</f>
        <v>#REF!</v>
      </c>
    </row>
    <row r="50" spans="1:24" s="184" customFormat="1">
      <c r="A50" s="183"/>
      <c r="B50" s="196"/>
      <c r="D50" s="196"/>
      <c r="L50" s="238"/>
      <c r="N50" s="238"/>
      <c r="S50" s="239"/>
      <c r="U50" s="239"/>
    </row>
    <row r="51" spans="1:24" s="196" customFormat="1" hidden="1">
      <c r="A51" s="185" t="s">
        <v>536</v>
      </c>
      <c r="K51" s="184" t="s">
        <v>536</v>
      </c>
      <c r="L51" s="238"/>
      <c r="M51" s="238"/>
      <c r="N51" s="238"/>
      <c r="O51" s="238"/>
      <c r="P51" s="238"/>
      <c r="Q51" s="238"/>
      <c r="S51" s="239"/>
      <c r="T51" s="184"/>
      <c r="U51" s="239"/>
    </row>
    <row r="52" spans="1:24" s="184" customFormat="1" hidden="1">
      <c r="A52" s="254" t="s">
        <v>537</v>
      </c>
      <c r="B52" s="196">
        <f>SUM(B53:B54)</f>
        <v>0</v>
      </c>
      <c r="C52" s="255"/>
      <c r="D52" s="196"/>
      <c r="E52" s="256"/>
      <c r="F52" s="238"/>
      <c r="G52" s="256"/>
      <c r="K52" s="238" t="s">
        <v>537</v>
      </c>
      <c r="L52" s="238">
        <v>0</v>
      </c>
      <c r="M52" s="197"/>
      <c r="N52" s="238"/>
      <c r="O52" s="197"/>
      <c r="P52" s="238"/>
      <c r="Q52" s="197"/>
      <c r="S52" s="241"/>
      <c r="T52" s="196"/>
      <c r="U52" s="241"/>
    </row>
    <row r="53" spans="1:24" s="239" customFormat="1" hidden="1">
      <c r="A53" s="239" t="s">
        <v>538</v>
      </c>
      <c r="C53" s="240"/>
      <c r="D53" s="241"/>
      <c r="E53" s="240"/>
      <c r="G53" s="242"/>
      <c r="K53" s="184" t="s">
        <v>538</v>
      </c>
      <c r="L53" s="184"/>
      <c r="M53" s="197"/>
      <c r="N53" s="238"/>
      <c r="O53" s="197"/>
      <c r="P53" s="184"/>
      <c r="Q53" s="197"/>
      <c r="T53" s="184"/>
    </row>
    <row r="54" spans="1:24" s="239" customFormat="1" hidden="1">
      <c r="A54" s="239" t="s">
        <v>539</v>
      </c>
      <c r="C54" s="240"/>
      <c r="G54" s="242"/>
      <c r="K54" s="184" t="s">
        <v>539</v>
      </c>
      <c r="L54" s="243"/>
      <c r="M54" s="244"/>
      <c r="N54" s="243"/>
      <c r="O54" s="243"/>
      <c r="P54" s="243"/>
      <c r="Q54" s="244"/>
    </row>
    <row r="55" spans="1:24" s="184" customFormat="1" hidden="1">
      <c r="B55" s="196"/>
      <c r="D55" s="196"/>
      <c r="F55" s="245"/>
      <c r="G55" s="246"/>
      <c r="K55" s="243"/>
      <c r="L55" s="238"/>
      <c r="N55" s="238"/>
      <c r="P55" s="257"/>
      <c r="Q55" s="197"/>
      <c r="S55" s="239"/>
      <c r="T55" s="239"/>
      <c r="U55" s="239"/>
    </row>
    <row r="56" spans="1:24" s="184" customFormat="1" hidden="1">
      <c r="A56" s="254" t="s">
        <v>540</v>
      </c>
      <c r="B56" s="238">
        <f>SUM(B57:B64)</f>
        <v>0</v>
      </c>
      <c r="C56" s="255"/>
      <c r="D56" s="238"/>
      <c r="E56" s="256"/>
      <c r="F56" s="238"/>
      <c r="G56" s="256"/>
      <c r="K56" s="184" t="s">
        <v>540</v>
      </c>
      <c r="L56" s="247">
        <v>0</v>
      </c>
      <c r="M56" s="200"/>
      <c r="N56" s="247"/>
      <c r="O56" s="200"/>
      <c r="P56" s="247"/>
      <c r="Q56" s="200"/>
      <c r="S56" s="239"/>
      <c r="U56" s="239"/>
    </row>
    <row r="57" spans="1:24" s="184" customFormat="1" hidden="1">
      <c r="A57" s="184" t="s">
        <v>541</v>
      </c>
      <c r="B57" s="196"/>
      <c r="C57" s="248"/>
      <c r="D57" s="196"/>
      <c r="F57" s="196"/>
      <c r="G57" s="246"/>
      <c r="K57" s="239" t="s">
        <v>541</v>
      </c>
      <c r="L57" s="247"/>
      <c r="M57" s="200"/>
      <c r="N57" s="247"/>
      <c r="O57" s="239"/>
      <c r="P57" s="247"/>
      <c r="Q57" s="200"/>
      <c r="S57" s="239"/>
      <c r="U57" s="239"/>
    </row>
    <row r="58" spans="1:24" s="184" customFormat="1" hidden="1">
      <c r="A58" s="184" t="s">
        <v>542</v>
      </c>
      <c r="C58" s="248"/>
      <c r="D58" s="196"/>
      <c r="F58" s="196"/>
      <c r="G58" s="246"/>
      <c r="K58" s="239" t="s">
        <v>542</v>
      </c>
      <c r="M58" s="197"/>
      <c r="N58" s="238"/>
      <c r="P58" s="238"/>
      <c r="Q58" s="197"/>
      <c r="S58" s="239"/>
      <c r="U58" s="239"/>
    </row>
    <row r="59" spans="1:24" s="184" customFormat="1" hidden="1">
      <c r="A59" s="184" t="s">
        <v>557</v>
      </c>
      <c r="B59" s="196"/>
      <c r="C59" s="248"/>
      <c r="D59" s="196"/>
      <c r="F59" s="196"/>
      <c r="G59" s="246"/>
      <c r="K59" s="184" t="s">
        <v>557</v>
      </c>
      <c r="L59" s="238"/>
      <c r="M59" s="197"/>
      <c r="N59" s="238"/>
      <c r="P59" s="238"/>
      <c r="Q59" s="197"/>
      <c r="S59" s="239"/>
      <c r="U59" s="239"/>
    </row>
    <row r="60" spans="1:24" s="184" customFormat="1" hidden="1">
      <c r="A60" s="184" t="s">
        <v>544</v>
      </c>
      <c r="C60" s="248"/>
      <c r="D60" s="196"/>
      <c r="E60" s="248"/>
      <c r="F60" s="196"/>
      <c r="G60" s="246"/>
      <c r="K60" s="184" t="s">
        <v>544</v>
      </c>
      <c r="M60" s="197"/>
      <c r="N60" s="238"/>
      <c r="O60" s="197"/>
      <c r="P60" s="238"/>
      <c r="Q60" s="197"/>
      <c r="S60" s="239"/>
      <c r="U60" s="239"/>
    </row>
    <row r="61" spans="1:24" s="184" customFormat="1" hidden="1">
      <c r="A61" s="184" t="s">
        <v>545</v>
      </c>
      <c r="C61" s="248"/>
      <c r="D61" s="196"/>
      <c r="F61" s="196"/>
      <c r="G61" s="246"/>
      <c r="K61" s="184" t="s">
        <v>545</v>
      </c>
      <c r="M61" s="197"/>
      <c r="N61" s="238"/>
      <c r="P61" s="238"/>
      <c r="Q61" s="197"/>
      <c r="S61" s="239"/>
      <c r="U61" s="239"/>
    </row>
    <row r="62" spans="1:24" s="184" customFormat="1" hidden="1">
      <c r="A62" s="184" t="s">
        <v>546</v>
      </c>
      <c r="B62" s="196"/>
      <c r="D62" s="249"/>
      <c r="E62" s="250"/>
      <c r="F62" s="196"/>
      <c r="G62" s="246"/>
      <c r="H62" s="238"/>
      <c r="K62" s="184" t="s">
        <v>546</v>
      </c>
      <c r="L62" s="238"/>
      <c r="N62" s="238"/>
      <c r="O62" s="197"/>
      <c r="P62" s="238"/>
      <c r="Q62" s="197"/>
      <c r="S62" s="239"/>
      <c r="U62" s="239"/>
    </row>
    <row r="63" spans="1:24" s="184" customFormat="1" hidden="1">
      <c r="A63" s="184" t="s">
        <v>547</v>
      </c>
      <c r="C63" s="248"/>
      <c r="E63" s="248"/>
      <c r="G63" s="246"/>
      <c r="I63" s="196"/>
      <c r="J63" s="196"/>
      <c r="K63" s="184" t="s">
        <v>547</v>
      </c>
      <c r="M63" s="197"/>
      <c r="O63" s="197"/>
      <c r="Q63" s="197"/>
      <c r="R63" s="196"/>
      <c r="S63" s="239"/>
      <c r="U63" s="239"/>
      <c r="V63" s="196"/>
      <c r="W63" s="196"/>
      <c r="X63" s="196"/>
    </row>
    <row r="64" spans="1:24" s="184" customFormat="1" hidden="1">
      <c r="A64" s="184" t="s">
        <v>548</v>
      </c>
      <c r="B64" s="196"/>
      <c r="E64" s="248"/>
      <c r="G64" s="246"/>
      <c r="I64" s="238"/>
      <c r="J64" s="238"/>
      <c r="K64" s="184" t="s">
        <v>548</v>
      </c>
      <c r="L64" s="238"/>
      <c r="O64" s="197"/>
      <c r="Q64" s="197"/>
      <c r="R64" s="238"/>
      <c r="S64" s="241"/>
      <c r="T64" s="196"/>
      <c r="U64" s="241"/>
      <c r="V64" s="238"/>
      <c r="W64" s="238"/>
      <c r="X64" s="251"/>
    </row>
    <row r="65" spans="1:25" s="184" customFormat="1" hidden="1">
      <c r="B65" s="196"/>
      <c r="C65" s="197"/>
      <c r="D65" s="196"/>
      <c r="E65" s="197"/>
      <c r="G65" s="197"/>
      <c r="L65" s="238"/>
      <c r="M65" s="197"/>
      <c r="N65" s="238"/>
      <c r="O65" s="197"/>
      <c r="Q65" s="197"/>
      <c r="S65" s="247"/>
      <c r="T65" s="238"/>
      <c r="U65" s="247"/>
    </row>
    <row r="66" spans="1:25" s="184" customFormat="1">
      <c r="A66" s="184" t="s">
        <v>550</v>
      </c>
      <c r="B66" s="196" t="e">
        <f>B49-B52-B56</f>
        <v>#REF!</v>
      </c>
      <c r="C66" s="197" t="e">
        <f>B66/B6</f>
        <v>#REF!</v>
      </c>
      <c r="D66" s="196" t="e">
        <f>D6*E66</f>
        <v>#REF!</v>
      </c>
      <c r="E66" s="197" t="e">
        <f>E49-E65</f>
        <v>#REF!</v>
      </c>
      <c r="F66" s="231" t="e">
        <f>F6*G66</f>
        <v>#REF!</v>
      </c>
      <c r="G66" s="197" t="e">
        <f>G49-G65</f>
        <v>#REF!</v>
      </c>
      <c r="K66" s="184" t="s">
        <v>550</v>
      </c>
      <c r="L66" s="196">
        <v>7138516.0346105993</v>
      </c>
      <c r="M66" s="244">
        <v>4.0234843705436299E-2</v>
      </c>
      <c r="N66" s="196">
        <v>6442472.4466004046</v>
      </c>
      <c r="O66" s="244">
        <v>3.4864237453932218E-2</v>
      </c>
      <c r="P66" s="252">
        <v>13580988.481211007</v>
      </c>
      <c r="Q66" s="244">
        <v>3.7494930037911683E-2</v>
      </c>
      <c r="S66" s="270" t="e">
        <f>F66-P65</f>
        <v>#REF!</v>
      </c>
      <c r="U66" s="239"/>
    </row>
    <row r="67" spans="1:25">
      <c r="B67" s="170" t="e">
        <f>B49-B52-B56</f>
        <v>#REF!</v>
      </c>
      <c r="D67" s="170" t="e">
        <f>D49-D52-D56</f>
        <v>#REF!</v>
      </c>
      <c r="K67" s="243"/>
      <c r="L67" s="192">
        <v>7138516.0346105993</v>
      </c>
      <c r="N67" s="192">
        <v>6442472.4466004223</v>
      </c>
      <c r="P67" s="182"/>
      <c r="S67" s="239"/>
      <c r="T67" s="184"/>
      <c r="U67" s="239"/>
    </row>
    <row r="68" spans="1:25">
      <c r="B68" s="170"/>
      <c r="D68" s="170"/>
      <c r="E68" s="182" t="s">
        <v>564</v>
      </c>
      <c r="F68" s="181" t="e">
        <f>Модель!F39</f>
        <v>#REF!</v>
      </c>
      <c r="L68" s="192"/>
      <c r="N68" s="192"/>
      <c r="O68" s="168" t="s">
        <v>564</v>
      </c>
      <c r="P68" s="181">
        <v>1127955.9099570718</v>
      </c>
    </row>
    <row r="69" spans="1:25">
      <c r="B69" s="375" t="e">
        <f>B29*B2</f>
        <v>#REF!</v>
      </c>
      <c r="D69" s="375" t="e">
        <f>D29*D2</f>
        <v>#REF!</v>
      </c>
      <c r="E69" s="182"/>
      <c r="F69" s="181" t="e">
        <f>SUM(B67:D67)</f>
        <v>#REF!</v>
      </c>
      <c r="L69" s="181"/>
      <c r="M69" s="182"/>
      <c r="N69" s="181"/>
      <c r="O69" s="182"/>
      <c r="P69" s="181">
        <v>13580988.481211022</v>
      </c>
      <c r="Q69" s="182"/>
    </row>
    <row r="70" spans="1:25">
      <c r="B70" s="170"/>
      <c r="D70" s="170"/>
      <c r="E70" s="182"/>
      <c r="F70" s="181" t="e">
        <f>SUM(F68:F69)</f>
        <v>#REF!</v>
      </c>
      <c r="K70" s="182"/>
      <c r="L70" s="192"/>
      <c r="N70" s="192"/>
      <c r="P70" s="192">
        <v>14708944.391168093</v>
      </c>
    </row>
    <row r="71" spans="1:25" hidden="1">
      <c r="B71" s="170"/>
      <c r="D71" s="170"/>
      <c r="L71" s="192"/>
      <c r="N71" s="192"/>
      <c r="V71" s="221" t="s">
        <v>558</v>
      </c>
    </row>
    <row r="72" spans="1:25" hidden="1">
      <c r="B72" s="170"/>
      <c r="D72" s="170"/>
      <c r="L72" s="192"/>
      <c r="N72" s="192"/>
      <c r="R72" s="229">
        <v>422733046.49686384</v>
      </c>
      <c r="V72" s="168" t="s">
        <v>559</v>
      </c>
      <c r="W72" s="229">
        <v>422733046.49686384</v>
      </c>
      <c r="Y72" s="230" t="e">
        <f>W72/W33-100%</f>
        <v>#REF!</v>
      </c>
    </row>
    <row r="73" spans="1:25" hidden="1">
      <c r="D73" s="170"/>
      <c r="N73" s="192"/>
      <c r="R73" s="229">
        <v>363962610.89329636</v>
      </c>
      <c r="V73" s="168" t="s">
        <v>560</v>
      </c>
      <c r="W73" s="229">
        <v>363962610.89329636</v>
      </c>
      <c r="Y73" s="230" t="e">
        <f>W73/#REF!-100%</f>
        <v>#REF!</v>
      </c>
    </row>
    <row r="74" spans="1:25" hidden="1">
      <c r="D74" s="170"/>
      <c r="N74" s="192"/>
      <c r="R74" s="222" t="e">
        <f>A49*(T73*#REF!)</f>
        <v>#VALUE!</v>
      </c>
      <c r="V74" s="168" t="s">
        <v>561</v>
      </c>
      <c r="W74" s="222" t="e">
        <f>F49*(Y73*#REF!)</f>
        <v>#REF!</v>
      </c>
      <c r="Y74" s="230" t="e">
        <f>Y73*#REF!</f>
        <v>#REF!</v>
      </c>
    </row>
    <row r="75" spans="1:25">
      <c r="D75" s="170"/>
      <c r="N75" s="192"/>
      <c r="P75" s="192">
        <v>-6.1467289924621582E-8</v>
      </c>
    </row>
    <row r="76" spans="1:25">
      <c r="F76" s="192" t="e">
        <f>F70-'Fact 2011- 2013 Plan 2014'!F60</f>
        <v>#REF!</v>
      </c>
    </row>
    <row r="78" spans="1:25">
      <c r="F78" s="375" t="e">
        <f>F29*F2</f>
        <v>#REF!</v>
      </c>
    </row>
  </sheetData>
  <mergeCells count="13">
    <mergeCell ref="S3:U3"/>
    <mergeCell ref="P3:Q3"/>
    <mergeCell ref="B1:C1"/>
    <mergeCell ref="D1:E1"/>
    <mergeCell ref="F1:G1"/>
    <mergeCell ref="B3:C3"/>
    <mergeCell ref="D3:E3"/>
    <mergeCell ref="F3:G3"/>
    <mergeCell ref="P1:Q1"/>
    <mergeCell ref="F2:G2"/>
    <mergeCell ref="B2:C2"/>
    <mergeCell ref="D2:E2"/>
    <mergeCell ref="P2:Q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Орг. структура FBC</vt:lpstr>
      <vt:lpstr>P&amp;L Monthly</vt:lpstr>
      <vt:lpstr>P&amp;L monthly coeff</vt:lpstr>
      <vt:lpstr>Модель</vt:lpstr>
      <vt:lpstr>Модель УДИ</vt:lpstr>
      <vt:lpstr>Модель УДИ All (2)</vt:lpstr>
      <vt:lpstr>All (2)</vt:lpstr>
      <vt:lpstr>Fact 2011- 2013 Plan 2014</vt:lpstr>
      <vt:lpstr>Модель УДИ (2)</vt:lpstr>
      <vt:lpstr>проект</vt:lpstr>
      <vt:lpstr>ИП2 (2)</vt:lpstr>
      <vt:lpstr>Marketing Investment (2)</vt:lpstr>
      <vt:lpstr>ИП трад и СК метод</vt:lpstr>
    </vt:vector>
  </TitlesOfParts>
  <Company>Three Bears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Y.Burdyug</dc:creator>
  <cp:lastModifiedBy>nazar</cp:lastModifiedBy>
  <cp:lastPrinted>2016-11-20T15:37:51Z</cp:lastPrinted>
  <dcterms:created xsi:type="dcterms:W3CDTF">2013-11-21T08:10:52Z</dcterms:created>
  <dcterms:modified xsi:type="dcterms:W3CDTF">2021-03-01T08:34:21Z</dcterms:modified>
</cp:coreProperties>
</file>