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InternsTraningPlan\"/>
    </mc:Choice>
  </mc:AlternateContent>
  <bookViews>
    <workbookView xWindow="0" yWindow="0" windowWidth="21600" windowHeight="9510" tabRatio="741" firstSheet="6" activeTab="7"/>
  </bookViews>
  <sheets>
    <sheet name="Jan" sheetId="1" state="hidden" r:id="rId1"/>
    <sheet name="Feb" sheetId="6" state="hidden" r:id="rId2"/>
    <sheet name="Mar" sheetId="17" state="hidden" r:id="rId3"/>
    <sheet name="Apr" sheetId="18" state="hidden" r:id="rId4"/>
    <sheet name="May" sheetId="19" state="hidden" r:id="rId5"/>
    <sheet name="Jun" sheetId="20" state="hidden" r:id="rId6"/>
    <sheet name="Procedure" sheetId="30" r:id="rId7"/>
    <sheet name="Agenda" sheetId="33" r:id="rId8"/>
    <sheet name="Env Setup" sheetId="32" r:id="rId9"/>
    <sheet name="SkillTraining" sheetId="28" r:id="rId10"/>
    <sheet name="Jul" sheetId="21" state="hidden" r:id="rId11"/>
    <sheet name="Aug" sheetId="22" state="hidden" r:id="rId12"/>
    <sheet name="Sep" sheetId="23" state="hidden" r:id="rId13"/>
    <sheet name="Oct" sheetId="24" state="hidden" r:id="rId14"/>
    <sheet name="Nov" sheetId="25" state="hidden" r:id="rId15"/>
    <sheet name="Dec" sheetId="26" state="hidden" r:id="rId16"/>
  </sheets>
  <definedNames>
    <definedName name="AprSun1">DATE(CalendarYear,4,1)-WEEKDAY(DATE(CalendarYear,4,1))+1</definedName>
    <definedName name="AssignmentDays" localSheetId="3">Apr!$K$2:$K$31</definedName>
    <definedName name="AssignmentDays" localSheetId="11">Aug!$K$2:$K$31</definedName>
    <definedName name="AssignmentDays" localSheetId="15">Dec!$K$2:$K$31</definedName>
    <definedName name="AssignmentDays" localSheetId="1">Feb!$K$2:$K$31</definedName>
    <definedName name="AssignmentDays" localSheetId="10">Jul!$K$2:$K$31</definedName>
    <definedName name="AssignmentDays" localSheetId="5">Jun!$K$2:$K$31</definedName>
    <definedName name="AssignmentDays" localSheetId="2">Mar!$K$2:$K$31</definedName>
    <definedName name="AssignmentDays" localSheetId="4">May!$K$2:$K$31</definedName>
    <definedName name="AssignmentDays" localSheetId="14">Nov!$K$2:$K$31</definedName>
    <definedName name="AssignmentDays" localSheetId="13">Oct!$K$2:$K$31</definedName>
    <definedName name="AssignmentDays" localSheetId="12">Sep!$K$2:$K$31</definedName>
    <definedName name="AssignmentDays">Jan!$K$2:$K$31</definedName>
    <definedName name="AugSun1">DATE(CalendarYear,8,1)-WEEKDAY(DATE(CalendarYear,8,1))+1</definedName>
    <definedName name="CalendarYear">Jan!$B$1</definedName>
    <definedName name="ColumnTitle1">JanuaryAssignments[[#Headers],[Day of the week]]</definedName>
    <definedName name="ColumnTitle10">OctoberAssignments[[#Headers],[Day of the week]]</definedName>
    <definedName name="ColumnTitle11">NovemberAssignments[[#Headers],[Day of the week]]</definedName>
    <definedName name="ColumnTitle12">DecemberAssignments[[#Headers],[Day of the week]]</definedName>
    <definedName name="ColumnTitle2">FebruaryAssignments[[#Headers],[Day of the week]]</definedName>
    <definedName name="ColumnTitle3">MachrAssignments[[#Headers],[Day of the week]]</definedName>
    <definedName name="ColumnTitle4">AprilAssignments[[#Headers],[Day of the week]]</definedName>
    <definedName name="ColumnTitle5">MayAssignments[[#Headers],[Day of the week]]</definedName>
    <definedName name="ColumnTitle6">JuneAssignments[[#Headers],[Day of the week]]</definedName>
    <definedName name="ColumnTitle7">Jul!$J$1</definedName>
    <definedName name="ColumnTitle8">AugustAssignments[[#Headers],[Day of the week]]</definedName>
    <definedName name="ColumnTitle9">SeptemberAssignments[[#Headers],[Day of the week]]</definedName>
    <definedName name="ColumnTitleRegion1..I8.1">Jan!$C$2</definedName>
    <definedName name="ColumnTitleRegion1..I8.10">Oct!$C$2</definedName>
    <definedName name="ColumnTitleRegion1..I8.11">Nov!$C$2</definedName>
    <definedName name="ColumnTitleRegion1..I8.12">Dec!$C$2</definedName>
    <definedName name="ColumnTitleRegion1..I8.2">Feb!$C$2</definedName>
    <definedName name="ColumnTitleRegion1..I8.3">Mar!$C$2</definedName>
    <definedName name="ColumnTitleRegion1..I8.4">Apr!$C$2</definedName>
    <definedName name="ColumnTitleRegion1..I8.5">May!$C$2</definedName>
    <definedName name="ColumnTitleRegion1..I8.6">Jun!$C$2</definedName>
    <definedName name="ColumnTitleRegion1..I8.7">Jul!$C$2</definedName>
    <definedName name="ColumnTitleRegion1..I8.8">Aug!$C$2</definedName>
    <definedName name="ColumnTitleRegion1..I8.9">Sep!$C$2</definedName>
    <definedName name="DecSun1">DATE(CalendarYear,12,1)-WEEKDAY(DATE(CalendarYear,12,1))+1</definedName>
    <definedName name="FebSun1">DATE(CalendarYear,2,1)-WEEKDAY(DATE(CalendarYear,2,1))+1</definedName>
    <definedName name="ImportantDatesTable" localSheetId="3">Apr!$K$2:$L$6</definedName>
    <definedName name="ImportantDatesTable" localSheetId="11">Aug!$K$2:$L$6</definedName>
    <definedName name="ImportantDatesTable" localSheetId="15">Dec!$K$2:$L$6</definedName>
    <definedName name="ImportantDatesTable" localSheetId="1">Feb!$K$2:$L$6</definedName>
    <definedName name="ImportantDatesTable" localSheetId="10">Jul!$K$2:$L$6</definedName>
    <definedName name="ImportantDatesTable" localSheetId="5">Jun!$K$2:$L$6</definedName>
    <definedName name="ImportantDatesTable" localSheetId="2">Mar!$K$2:$L$6</definedName>
    <definedName name="ImportantDatesTable" localSheetId="4">May!$K$2:$L$6</definedName>
    <definedName name="ImportantDatesTable" localSheetId="14">Nov!$K$2:$L$6</definedName>
    <definedName name="ImportantDatesTable" localSheetId="13">Oct!$K$2:$L$6</definedName>
    <definedName name="ImportantDatesTable" localSheetId="12">Sep!$K$2:$L$6</definedName>
    <definedName name="ImportantDatesTable">Jan!$K$2:$L$6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SepSun1">DATE(CalendarYear,9,1)-WEEKDAY(DATE(CalendarYear,9,1))+1</definedName>
    <definedName name="TitleRegion2..I31.1">Jan!$A$11</definedName>
    <definedName name="TitleRegion2..I31.10">Oct!$A$11</definedName>
    <definedName name="TitleRegion2..I31.11">Nov!$A$11</definedName>
    <definedName name="TitleRegion2..I31.12">Dec!$A$11</definedName>
    <definedName name="TitleRegion2..I31.2">Feb!$A$11</definedName>
    <definedName name="TitleRegion2..I31.3">Mar!$A$11</definedName>
    <definedName name="TitleRegion2..I31.4">Apr!$A$11</definedName>
    <definedName name="TitleRegion2..I31.5">May!$A$11</definedName>
    <definedName name="TitleRegion2..I31.6">Jun!$A$11</definedName>
    <definedName name="TitleRegion2..I31.7">Jul!$A$11</definedName>
    <definedName name="TitleRegion2..I31.8">Aug!$A$11</definedName>
    <definedName name="TitleRegion2..I31.9">Sep!$A$11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I8" i="26" l="1"/>
  <c r="E8" i="26"/>
  <c r="H7" i="26"/>
  <c r="D7" i="26"/>
  <c r="G6" i="26"/>
  <c r="C6" i="26"/>
  <c r="F5" i="26"/>
  <c r="I4" i="26"/>
  <c r="E4" i="26"/>
  <c r="H3" i="26"/>
  <c r="D3" i="26"/>
  <c r="E7" i="26"/>
  <c r="G5" i="26"/>
  <c r="F4" i="26"/>
  <c r="H8" i="26"/>
  <c r="D8" i="26"/>
  <c r="G7" i="26"/>
  <c r="C7" i="26"/>
  <c r="F6" i="26"/>
  <c r="I5" i="26"/>
  <c r="E5" i="26"/>
  <c r="H4" i="26"/>
  <c r="D4" i="26"/>
  <c r="G3" i="26"/>
  <c r="C3" i="26"/>
  <c r="D6" i="26"/>
  <c r="E3" i="26"/>
  <c r="G8" i="26"/>
  <c r="C8" i="26"/>
  <c r="F7" i="26"/>
  <c r="I6" i="26"/>
  <c r="E6" i="26"/>
  <c r="H5" i="26"/>
  <c r="D5" i="26"/>
  <c r="G4" i="26"/>
  <c r="C4" i="26"/>
  <c r="F3" i="26"/>
  <c r="F8" i="26"/>
  <c r="I7" i="26"/>
  <c r="H6" i="26"/>
  <c r="C5" i="26"/>
  <c r="I3" i="26"/>
  <c r="B1" i="26"/>
  <c r="I8" i="25"/>
  <c r="E8" i="25"/>
  <c r="H7" i="25"/>
  <c r="D7" i="25"/>
  <c r="G6" i="25"/>
  <c r="C6" i="25"/>
  <c r="F5" i="25"/>
  <c r="I4" i="25"/>
  <c r="E4" i="25"/>
  <c r="H3" i="25"/>
  <c r="D3" i="25"/>
  <c r="I7" i="25"/>
  <c r="D6" i="25"/>
  <c r="C5" i="25"/>
  <c r="E3" i="25"/>
  <c r="H8" i="25"/>
  <c r="D8" i="25"/>
  <c r="G7" i="25"/>
  <c r="C7" i="25"/>
  <c r="F6" i="25"/>
  <c r="I5" i="25"/>
  <c r="E5" i="25"/>
  <c r="H4" i="25"/>
  <c r="D4" i="25"/>
  <c r="G3" i="25"/>
  <c r="C3" i="25"/>
  <c r="H6" i="25"/>
  <c r="F4" i="25"/>
  <c r="G8" i="25"/>
  <c r="C8" i="25"/>
  <c r="F7" i="25"/>
  <c r="I6" i="25"/>
  <c r="E6" i="25"/>
  <c r="H5" i="25"/>
  <c r="D5" i="25"/>
  <c r="G4" i="25"/>
  <c r="C4" i="25"/>
  <c r="F3" i="25"/>
  <c r="F8" i="25"/>
  <c r="E7" i="25"/>
  <c r="G5" i="25"/>
  <c r="I3" i="25"/>
  <c r="B1" i="25"/>
  <c r="I8" i="24"/>
  <c r="E8" i="24"/>
  <c r="H7" i="24"/>
  <c r="D7" i="24"/>
  <c r="G6" i="24"/>
  <c r="C6" i="24"/>
  <c r="F5" i="24"/>
  <c r="I4" i="24"/>
  <c r="E4" i="24"/>
  <c r="H3" i="24"/>
  <c r="D3" i="24"/>
  <c r="C8" i="24"/>
  <c r="I6" i="24"/>
  <c r="H5" i="24"/>
  <c r="G4" i="24"/>
  <c r="F3" i="24"/>
  <c r="I7" i="24"/>
  <c r="H6" i="24"/>
  <c r="G5" i="24"/>
  <c r="F4" i="24"/>
  <c r="E3" i="24"/>
  <c r="H8" i="24"/>
  <c r="D8" i="24"/>
  <c r="G7" i="24"/>
  <c r="C7" i="24"/>
  <c r="F6" i="24"/>
  <c r="I5" i="24"/>
  <c r="E5" i="24"/>
  <c r="H4" i="24"/>
  <c r="D4" i="24"/>
  <c r="G3" i="24"/>
  <c r="C3" i="24"/>
  <c r="G8" i="24"/>
  <c r="F7" i="24"/>
  <c r="E6" i="24"/>
  <c r="D5" i="24"/>
  <c r="C4" i="24"/>
  <c r="F8" i="24"/>
  <c r="E7" i="24"/>
  <c r="D6" i="24"/>
  <c r="C5" i="24"/>
  <c r="I3" i="24"/>
  <c r="B1" i="24"/>
  <c r="I8" i="23"/>
  <c r="E8" i="23"/>
  <c r="H7" i="23"/>
  <c r="D7" i="23"/>
  <c r="G6" i="23"/>
  <c r="C6" i="23"/>
  <c r="F5" i="23"/>
  <c r="I4" i="23"/>
  <c r="E4" i="23"/>
  <c r="H3" i="23"/>
  <c r="D3" i="23"/>
  <c r="I7" i="23"/>
  <c r="G5" i="23"/>
  <c r="E3" i="23"/>
  <c r="H8" i="23"/>
  <c r="D8" i="23"/>
  <c r="G7" i="23"/>
  <c r="C7" i="23"/>
  <c r="F6" i="23"/>
  <c r="I5" i="23"/>
  <c r="E5" i="23"/>
  <c r="H4" i="23"/>
  <c r="D4" i="23"/>
  <c r="G3" i="23"/>
  <c r="C3" i="23"/>
  <c r="E7" i="23"/>
  <c r="C5" i="23"/>
  <c r="I3" i="23"/>
  <c r="G8" i="23"/>
  <c r="C8" i="23"/>
  <c r="F7" i="23"/>
  <c r="I6" i="23"/>
  <c r="E6" i="23"/>
  <c r="H5" i="23"/>
  <c r="D5" i="23"/>
  <c r="G4" i="23"/>
  <c r="C4" i="23"/>
  <c r="F3" i="23"/>
  <c r="F8" i="23"/>
  <c r="H6" i="23"/>
  <c r="D6" i="23"/>
  <c r="F4" i="23"/>
  <c r="B1" i="23"/>
  <c r="I8" i="22"/>
  <c r="E8" i="22"/>
  <c r="H7" i="22"/>
  <c r="D7" i="22"/>
  <c r="G6" i="22"/>
  <c r="C6" i="22"/>
  <c r="F5" i="22"/>
  <c r="I4" i="22"/>
  <c r="E4" i="22"/>
  <c r="H3" i="22"/>
  <c r="D3" i="22"/>
  <c r="H8" i="22"/>
  <c r="D8" i="22"/>
  <c r="G7" i="22"/>
  <c r="C7" i="22"/>
  <c r="F6" i="22"/>
  <c r="I5" i="22"/>
  <c r="E5" i="22"/>
  <c r="H4" i="22"/>
  <c r="D4" i="22"/>
  <c r="G3" i="22"/>
  <c r="C3" i="22"/>
  <c r="G8" i="22"/>
  <c r="C8" i="22"/>
  <c r="F7" i="22"/>
  <c r="I6" i="22"/>
  <c r="E6" i="22"/>
  <c r="H5" i="22"/>
  <c r="D5" i="22"/>
  <c r="G4" i="22"/>
  <c r="C4" i="22"/>
  <c r="F3" i="22"/>
  <c r="F8" i="22"/>
  <c r="I7" i="22"/>
  <c r="E7" i="22"/>
  <c r="H6" i="22"/>
  <c r="D6" i="22"/>
  <c r="G5" i="22"/>
  <c r="C5" i="22"/>
  <c r="F4" i="22"/>
  <c r="I3" i="22"/>
  <c r="E3" i="22"/>
  <c r="B1" i="22"/>
  <c r="I8" i="21"/>
  <c r="E8" i="21"/>
  <c r="H7" i="21"/>
  <c r="D7" i="21"/>
  <c r="G6" i="21"/>
  <c r="C6" i="21"/>
  <c r="F5" i="21"/>
  <c r="I4" i="21"/>
  <c r="E4" i="21"/>
  <c r="H3" i="21"/>
  <c r="D3" i="21"/>
  <c r="C8" i="21"/>
  <c r="I6" i="21"/>
  <c r="H5" i="21"/>
  <c r="G4" i="21"/>
  <c r="F3" i="21"/>
  <c r="H8" i="21"/>
  <c r="D8" i="21"/>
  <c r="G7" i="21"/>
  <c r="C7" i="21"/>
  <c r="F6" i="21"/>
  <c r="I5" i="21"/>
  <c r="E5" i="21"/>
  <c r="H4" i="21"/>
  <c r="D4" i="21"/>
  <c r="G3" i="21"/>
  <c r="C3" i="21"/>
  <c r="F7" i="21"/>
  <c r="E6" i="21"/>
  <c r="D5" i="21"/>
  <c r="C4" i="21"/>
  <c r="G8" i="21"/>
  <c r="F8" i="21"/>
  <c r="I7" i="21"/>
  <c r="E7" i="21"/>
  <c r="H6" i="21"/>
  <c r="D6" i="21"/>
  <c r="G5" i="21"/>
  <c r="C5" i="21"/>
  <c r="F4" i="21"/>
  <c r="I3" i="21"/>
  <c r="E3" i="21"/>
  <c r="B1" i="21"/>
  <c r="I8" i="20"/>
  <c r="E8" i="20"/>
  <c r="H7" i="20"/>
  <c r="D7" i="20"/>
  <c r="G6" i="20"/>
  <c r="C6" i="20"/>
  <c r="F5" i="20"/>
  <c r="I4" i="20"/>
  <c r="E4" i="20"/>
  <c r="H3" i="20"/>
  <c r="D3" i="20"/>
  <c r="E7" i="20"/>
  <c r="D6" i="20"/>
  <c r="F4" i="20"/>
  <c r="H8" i="20"/>
  <c r="D8" i="20"/>
  <c r="G7" i="20"/>
  <c r="C7" i="20"/>
  <c r="F6" i="20"/>
  <c r="I5" i="20"/>
  <c r="E5" i="20"/>
  <c r="H4" i="20"/>
  <c r="D4" i="20"/>
  <c r="G3" i="20"/>
  <c r="C3" i="20"/>
  <c r="I7" i="20"/>
  <c r="G5" i="20"/>
  <c r="I3" i="20"/>
  <c r="G8" i="20"/>
  <c r="C8" i="20"/>
  <c r="F7" i="20"/>
  <c r="I6" i="20"/>
  <c r="E6" i="20"/>
  <c r="H5" i="20"/>
  <c r="D5" i="20"/>
  <c r="G4" i="20"/>
  <c r="C4" i="20"/>
  <c r="F3" i="20"/>
  <c r="F8" i="20"/>
  <c r="H6" i="20"/>
  <c r="C5" i="20"/>
  <c r="E3" i="20"/>
  <c r="B1" i="20"/>
  <c r="I8" i="19"/>
  <c r="E8" i="19"/>
  <c r="H7" i="19"/>
  <c r="D7" i="19"/>
  <c r="G6" i="19"/>
  <c r="C6" i="19"/>
  <c r="F5" i="19"/>
  <c r="I4" i="19"/>
  <c r="E4" i="19"/>
  <c r="H3" i="19"/>
  <c r="D3" i="19"/>
  <c r="F4" i="19"/>
  <c r="E3" i="19"/>
  <c r="H8" i="19"/>
  <c r="D8" i="19"/>
  <c r="G7" i="19"/>
  <c r="C7" i="19"/>
  <c r="F6" i="19"/>
  <c r="I5" i="19"/>
  <c r="E5" i="19"/>
  <c r="H4" i="19"/>
  <c r="D4" i="19"/>
  <c r="G3" i="19"/>
  <c r="C3" i="19"/>
  <c r="C5" i="19"/>
  <c r="G8" i="19"/>
  <c r="C8" i="19"/>
  <c r="F7" i="19"/>
  <c r="I6" i="19"/>
  <c r="E6" i="19"/>
  <c r="H5" i="19"/>
  <c r="D5" i="19"/>
  <c r="G4" i="19"/>
  <c r="C4" i="19"/>
  <c r="F3" i="19"/>
  <c r="F8" i="19"/>
  <c r="I7" i="19"/>
  <c r="E7" i="19"/>
  <c r="H6" i="19"/>
  <c r="D6" i="19"/>
  <c r="G5" i="19"/>
  <c r="I3" i="19"/>
  <c r="B1" i="19"/>
  <c r="I8" i="18"/>
  <c r="E8" i="18"/>
  <c r="H7" i="18"/>
  <c r="D7" i="18"/>
  <c r="G6" i="18"/>
  <c r="C6" i="18"/>
  <c r="F5" i="18"/>
  <c r="I4" i="18"/>
  <c r="E4" i="18"/>
  <c r="H3" i="18"/>
  <c r="D3" i="18"/>
  <c r="I7" i="18"/>
  <c r="D6" i="18"/>
  <c r="F4" i="18"/>
  <c r="H8" i="18"/>
  <c r="D8" i="18"/>
  <c r="G7" i="18"/>
  <c r="C7" i="18"/>
  <c r="F6" i="18"/>
  <c r="I5" i="18"/>
  <c r="E5" i="18"/>
  <c r="H4" i="18"/>
  <c r="D4" i="18"/>
  <c r="G3" i="18"/>
  <c r="C3" i="18"/>
  <c r="H6" i="18"/>
  <c r="C5" i="18"/>
  <c r="E3" i="18"/>
  <c r="G8" i="18"/>
  <c r="C8" i="18"/>
  <c r="F7" i="18"/>
  <c r="I6" i="18"/>
  <c r="E6" i="18"/>
  <c r="H5" i="18"/>
  <c r="D5" i="18"/>
  <c r="G4" i="18"/>
  <c r="C4" i="18"/>
  <c r="F3" i="18"/>
  <c r="F8" i="18"/>
  <c r="E7" i="18"/>
  <c r="G5" i="18"/>
  <c r="I3" i="18"/>
  <c r="B1" i="18"/>
  <c r="I8" i="17"/>
  <c r="E8" i="17"/>
  <c r="H7" i="17"/>
  <c r="D7" i="17"/>
  <c r="G6" i="17"/>
  <c r="C6" i="17"/>
  <c r="F5" i="17"/>
  <c r="I4" i="17"/>
  <c r="E4" i="17"/>
  <c r="H3" i="17"/>
  <c r="D3" i="17"/>
  <c r="H8" i="17"/>
  <c r="D8" i="17"/>
  <c r="G7" i="17"/>
  <c r="C7" i="17"/>
  <c r="F6" i="17"/>
  <c r="I5" i="17"/>
  <c r="E5" i="17"/>
  <c r="H4" i="17"/>
  <c r="D4" i="17"/>
  <c r="G3" i="17"/>
  <c r="C3" i="17"/>
  <c r="G8" i="17"/>
  <c r="C8" i="17"/>
  <c r="F7" i="17"/>
  <c r="I6" i="17"/>
  <c r="E6" i="17"/>
  <c r="H5" i="17"/>
  <c r="D5" i="17"/>
  <c r="G4" i="17"/>
  <c r="C4" i="17"/>
  <c r="F3" i="17"/>
  <c r="F8" i="17"/>
  <c r="I7" i="17"/>
  <c r="E7" i="17"/>
  <c r="H6" i="17"/>
  <c r="D6" i="17"/>
  <c r="G5" i="17"/>
  <c r="C5" i="17"/>
  <c r="F4" i="17"/>
  <c r="I3" i="17"/>
  <c r="E3" i="17"/>
  <c r="B1" i="17"/>
  <c r="B1" i="6" l="1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I3" i="6"/>
  <c r="H3" i="6"/>
  <c r="G3" i="6"/>
  <c r="F3" i="6"/>
  <c r="E3" i="6"/>
  <c r="D3" i="6"/>
  <c r="C3" i="6"/>
  <c r="H3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<sst xmlns="http://schemas.openxmlformats.org/spreadsheetml/2006/main" count="1086" uniqueCount="131">
  <si>
    <t>JAN</t>
  </si>
  <si>
    <t>ASSIGNMENTS</t>
  </si>
  <si>
    <t>MON</t>
  </si>
  <si>
    <t>French: First paper draft due</t>
  </si>
  <si>
    <t>TUES</t>
  </si>
  <si>
    <t>WEEKLY SCHEDULE</t>
  </si>
  <si>
    <t>WED</t>
  </si>
  <si>
    <t>THURS</t>
  </si>
  <si>
    <t>FRI</t>
  </si>
  <si>
    <t>8:00</t>
  </si>
  <si>
    <t>French</t>
  </si>
  <si>
    <t>9:00</t>
  </si>
  <si>
    <t>Art History</t>
  </si>
  <si>
    <t>10:00</t>
  </si>
  <si>
    <t>Math</t>
  </si>
  <si>
    <t>2:00</t>
  </si>
  <si>
    <t>English</t>
  </si>
  <si>
    <t>4:00</t>
  </si>
  <si>
    <t>Programming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</si>
  <si>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</si>
  <si>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</si>
  <si>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</si>
  <si>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</si>
  <si>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</si>
  <si>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</si>
  <si>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</si>
  <si>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</si>
  <si>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</si>
  <si>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</si>
  <si>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</si>
  <si>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TUE</t>
  </si>
  <si>
    <t>THU</t>
  </si>
  <si>
    <t>Art History: Test</t>
  </si>
  <si>
    <t>SAT</t>
  </si>
  <si>
    <t>SUN</t>
  </si>
  <si>
    <t xml:space="preserve"> </t>
  </si>
  <si>
    <t>Day of the week</t>
  </si>
  <si>
    <t>calendar day</t>
  </si>
  <si>
    <t>Time</t>
  </si>
  <si>
    <t>Class</t>
  </si>
  <si>
    <t>Weekday</t>
  </si>
  <si>
    <t>Enter calendar year in cell B1 at left.</t>
  </si>
  <si>
    <t>Topic</t>
  </si>
  <si>
    <t>Expect Result</t>
  </si>
  <si>
    <t>Basic Skill</t>
  </si>
  <si>
    <t>HTML, CSS</t>
  </si>
  <si>
    <t>Practice Review</t>
  </si>
  <si>
    <t>Able to design cross browser web page through self-study</t>
  </si>
  <si>
    <t>Understand:
1. How HTML &amp; CSS work together
2. CSS structure &amp; rules</t>
  </si>
  <si>
    <t>MEAN</t>
  </si>
  <si>
    <t>AngularJs</t>
  </si>
  <si>
    <t>Bootstrap</t>
  </si>
  <si>
    <t>Mongo</t>
  </si>
  <si>
    <t>Oracle</t>
  </si>
  <si>
    <t>DB</t>
  </si>
  <si>
    <t>WEEKLY SCHEDULE(WK1)</t>
  </si>
  <si>
    <t>WEEKLY SCHEDULE(WK2)</t>
  </si>
  <si>
    <t>WEEKLY SCHEDULE(WK3)</t>
  </si>
  <si>
    <t>WEEKLY SCHEDULE(WK4)</t>
  </si>
  <si>
    <t>Brief about OOCL &amp; CargoSmart</t>
  </si>
  <si>
    <t>Brief about end-to-end Shipment Cycle</t>
  </si>
  <si>
    <t>Tech Skill Traiing</t>
  </si>
  <si>
    <t>WEEKLY SCHEDULE(WK5)</t>
  </si>
  <si>
    <t>WEEKLY SCHEDULE(WK6)</t>
  </si>
  <si>
    <t>WEEKLY SCHEDULE(WK7)</t>
  </si>
  <si>
    <t>WEEKLY SCHEDULE(WK8)</t>
  </si>
  <si>
    <t>Remarks</t>
  </si>
  <si>
    <t>Items</t>
  </si>
  <si>
    <t>Software &amp; Access Right Granting</t>
  </si>
  <si>
    <t>Brief about Intern daily work, development process, our job responsibility, output.</t>
  </si>
  <si>
    <t>Source control (git)</t>
  </si>
  <si>
    <t xml:space="preserve">Project management (redmine/ALM) - request related party to add in </t>
  </si>
  <si>
    <t>Share on hand projects and doc for reference</t>
  </si>
  <si>
    <t>Timesheet? Email writing?</t>
  </si>
  <si>
    <t>Share some helpful contact person, leave process etc.</t>
  </si>
  <si>
    <t>Shiping Line</t>
  </si>
  <si>
    <t>Shipment Cycle</t>
  </si>
  <si>
    <t>Understand:
1. high level end-to-end shipment cycle
2. Basic Shipping Knowledge (for booking request development)
    Shipping Parties
    Types of Locations (Route)
    Cargo Nature
    Types of Equipment</t>
  </si>
  <si>
    <t>Path</t>
  </si>
  <si>
    <t>https://code.visualstudio.com</t>
  </si>
  <si>
    <t>Brief about OOCL, ISDC and CargoSmart, ignore if HR shared.</t>
  </si>
  <si>
    <t>Brief about high level shipment cycle. PPT: Overall_Training.ppt</t>
  </si>
  <si>
    <t>Column1</t>
  </si>
  <si>
    <t>Column2</t>
  </si>
  <si>
    <t>Vue.js</t>
  </si>
  <si>
    <t>Redis</t>
  </si>
  <si>
    <t>Process</t>
  </si>
  <si>
    <t>Agile</t>
  </si>
  <si>
    <t>Teacher</t>
  </si>
  <si>
    <t xml:space="preserve">If I have a customer located at Rotterdam who make a deal with our company for 1*40 ft bicycles, expect receive them before Oct 1, how to find available sailing schedules? How to make booking request when you aligned with your customer a vessel voyage? what kind of information should provided to specify carrier? </t>
  </si>
  <si>
    <t>2017 Jul 7</t>
  </si>
  <si>
    <t>Fri</t>
  </si>
  <si>
    <t>2017 Jul 10</t>
  </si>
  <si>
    <t>Mon</t>
  </si>
  <si>
    <t>2017 Jul 11</t>
  </si>
  <si>
    <t>Tue</t>
  </si>
  <si>
    <t>2017 Jul 12</t>
  </si>
  <si>
    <t>Wed</t>
  </si>
  <si>
    <t>AM</t>
  </si>
  <si>
    <t>Time: 9am – 12am</t>
  </si>
  <si>
    <t>Venue: Mercury</t>
  </si>
  <si>
    <r>
      <t>Welcome</t>
    </r>
    <r>
      <rPr>
        <sz val="11"/>
        <color rgb="FF000000"/>
        <rFont val="Arial"/>
        <family val="2"/>
      </rPr>
      <t xml:space="preserve"> (8 ppls)</t>
    </r>
  </si>
  <si>
    <t>Phoeny/Tingting</t>
  </si>
  <si>
    <t>CS Overall</t>
  </si>
  <si>
    <t>Goldsea Lin</t>
  </si>
  <si>
    <t>Venue: ITA Panama</t>
  </si>
  <si>
    <t>AngularJS</t>
  </si>
  <si>
    <t>Antony Zhang</t>
  </si>
  <si>
    <t>NodeJS/Express</t>
  </si>
  <si>
    <t>Jim Chen</t>
  </si>
  <si>
    <t>Venue: Mercury?</t>
  </si>
  <si>
    <t>MOC BR code</t>
  </si>
  <si>
    <t>2016ITA</t>
  </si>
  <si>
    <t>PM</t>
  </si>
  <si>
    <t>Biz Sharing</t>
  </si>
  <si>
    <t>Overall shipment cycle &amp; BR</t>
  </si>
  <si>
    <t>Tingting Zhang</t>
  </si>
  <si>
    <t>Amazon Xia</t>
  </si>
  <si>
    <t>-----------------------</t>
  </si>
  <si>
    <t>Agile – Process (2 hrs)</t>
  </si>
  <si>
    <t>Phoeny Liu</t>
  </si>
  <si>
    <t>VueJS</t>
  </si>
  <si>
    <r>
      <t xml:space="preserve">&amp; </t>
    </r>
    <r>
      <rPr>
        <b/>
        <sz val="11"/>
        <color rgb="FF000000"/>
        <rFont val="Arial"/>
        <family val="2"/>
      </rPr>
      <t>Agile - Pair/TDD</t>
    </r>
  </si>
  <si>
    <t xml:space="preserve">Time: 1:30pm – </t>
  </si>
  <si>
    <t>Venue: Intern seat</t>
  </si>
  <si>
    <t>Trace one simple end-to-end flow</t>
  </si>
  <si>
    <t>Time: 9am – 11:30am</t>
  </si>
  <si>
    <t>Time: 2pm – 5:30pm</t>
  </si>
  <si>
    <t>Time: 1:30pm – 3pm</t>
  </si>
  <si>
    <t>MongoDB (1.5 hrs)</t>
  </si>
  <si>
    <t>MEAN/JS development tool
  Visual Studio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</si>
</sst>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[$-409]mmmmm;@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4" tint="-0.499984740745262"/>
      <name val="Arial"/>
      <family val="2"/>
      <scheme val="minor"/>
    </font>
    <font>
      <b/>
      <sz val="17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ajor"/>
    </font>
    <font>
      <b/>
      <sz val="18"/>
      <color theme="4" tint="-0.499984740745262"/>
      <name val="Arial"/>
      <family val="2"/>
      <scheme val="maj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 style="thin">
        <color indexed="64"/>
      </right>
      <top style="thin">
        <color theme="4" tint="-0.499984740745262"/>
      </top>
      <bottom/>
      <diagonal/>
    </border>
    <border>
      <left/>
      <right style="thin">
        <color indexed="64"/>
      </right>
      <top/>
      <bottom style="thin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4">
    <xf numFmtId="0" fontId="0" fillId="0" borderId="0">
      <alignment wrapText="1"/>
    </xf>
    <xf numFmtId="0" fontId="13" fillId="0" borderId="0" applyFill="0" applyBorder="0" applyProtection="0">
      <alignment horizontal="center" vertical="center"/>
    </xf>
    <xf numFmtId="165" fontId="7" fillId="0" borderId="0" applyFill="0" applyBorder="0" applyProtection="0">
      <alignment horizontal="center" vertical="center"/>
    </xf>
    <xf numFmtId="0" fontId="8" fillId="0" borderId="0" applyFill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/>
    </xf>
    <xf numFmtId="0" fontId="9" fillId="0" borderId="0" applyFill="0" applyBorder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5" fillId="3" borderId="5" applyNumberFormat="0" applyAlignment="0" applyProtection="0"/>
    <xf numFmtId="0" fontId="6" fillId="4" borderId="1">
      <alignment horizontal="left" indent="1"/>
    </xf>
    <xf numFmtId="0" fontId="10" fillId="0" borderId="0">
      <alignment vertical="center"/>
    </xf>
    <xf numFmtId="0" fontId="10" fillId="0" borderId="6" applyNumberFormat="0" applyFont="0" applyFill="0" applyAlignment="0" applyProtection="0">
      <alignment horizontal="left" vertical="center" indent="2"/>
    </xf>
    <xf numFmtId="1" fontId="11" fillId="0" borderId="0" applyFill="0" applyBorder="0">
      <alignment horizontal="center"/>
    </xf>
    <xf numFmtId="0" fontId="14" fillId="0" borderId="7" applyNumberFormat="0" applyFont="0" applyFill="0" applyAlignment="0" applyProtection="0">
      <alignment horizontal="center"/>
    </xf>
    <xf numFmtId="0" fontId="14" fillId="0" borderId="9" applyNumberFormat="0" applyFont="0" applyFill="0" applyAlignment="0" applyProtection="0"/>
    <xf numFmtId="164" fontId="4" fillId="0" borderId="0" applyNumberFormat="0" applyFill="0" applyBorder="0">
      <alignment horizontal="left" vertical="center" indent="1"/>
    </xf>
    <xf numFmtId="0" fontId="14" fillId="2" borderId="0" applyFont="0" applyBorder="0">
      <alignment horizontal="left" vertical="top" indent="1"/>
    </xf>
    <xf numFmtId="0" fontId="6" fillId="0" borderId="0" applyNumberFormat="0" applyFill="0" applyBorder="0" applyAlignment="0">
      <alignment wrapText="1"/>
    </xf>
    <xf numFmtId="20" fontId="14" fillId="2" borderId="0" applyFill="0" applyBorder="0">
      <alignment horizontal="left" indent="1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>
      <alignment wrapText="1"/>
    </xf>
    <xf numFmtId="0" fontId="9" fillId="0" borderId="7" xfId="16" applyFont="1" applyAlignment="1"/>
    <xf numFmtId="0" fontId="0" fillId="0" borderId="0" xfId="0" applyFont="1">
      <alignment wrapText="1"/>
    </xf>
    <xf numFmtId="1" fontId="11" fillId="0" borderId="0" xfId="15">
      <alignment horizontal="center"/>
    </xf>
    <xf numFmtId="0" fontId="11" fillId="0" borderId="6" xfId="14" applyFont="1" applyAlignment="1">
      <alignment horizontal="center"/>
    </xf>
    <xf numFmtId="0" fontId="0" fillId="0" borderId="0" xfId="0">
      <alignment wrapText="1"/>
    </xf>
    <xf numFmtId="0" fontId="14" fillId="0" borderId="7" xfId="16">
      <alignment horizontal="center"/>
    </xf>
    <xf numFmtId="0" fontId="0" fillId="0" borderId="0" xfId="0">
      <alignment wrapText="1"/>
    </xf>
    <xf numFmtId="0" fontId="0" fillId="0" borderId="0" xfId="0">
      <alignment wrapText="1"/>
    </xf>
    <xf numFmtId="0" fontId="6" fillId="4" borderId="9" xfId="17" applyFont="1" applyFill="1" applyAlignment="1">
      <alignment horizontal="left" indent="1"/>
    </xf>
    <xf numFmtId="0" fontId="0" fillId="0" borderId="0" xfId="0">
      <alignment wrapText="1"/>
    </xf>
    <xf numFmtId="0" fontId="9" fillId="0" borderId="6" xfId="14" applyFont="1" applyAlignment="1">
      <alignment vertical="center"/>
    </xf>
    <xf numFmtId="0" fontId="10" fillId="0" borderId="0" xfId="13">
      <alignment vertical="center"/>
    </xf>
    <xf numFmtId="164" fontId="4" fillId="0" borderId="0" xfId="18" applyNumberFormat="1" applyFill="1" applyBorder="1">
      <alignment horizontal="left" vertical="center" indent="1"/>
    </xf>
    <xf numFmtId="0" fontId="4" fillId="0" borderId="6" xfId="14" applyNumberFormat="1" applyFont="1" applyAlignment="1">
      <alignment horizontal="left" vertical="center" indent="1"/>
    </xf>
    <xf numFmtId="0" fontId="13" fillId="0" borderId="7" xfId="1" applyBorder="1">
      <alignment horizontal="center" vertical="center"/>
    </xf>
    <xf numFmtId="164" fontId="4" fillId="0" borderId="7" xfId="16" applyNumberFormat="1" applyFont="1" applyFill="1" applyAlignment="1">
      <alignment horizontal="left" vertical="center" indent="1"/>
    </xf>
    <xf numFmtId="0" fontId="0" fillId="0" borderId="0" xfId="14" applyFont="1" applyBorder="1" applyAlignment="1">
      <alignment wrapText="1"/>
    </xf>
    <xf numFmtId="0" fontId="9" fillId="0" borderId="0" xfId="5"/>
    <xf numFmtId="0" fontId="8" fillId="0" borderId="0" xfId="3">
      <alignment horizontal="left" vertical="center" indent="2"/>
    </xf>
    <xf numFmtId="0" fontId="13" fillId="0" borderId="0" xfId="1">
      <alignment horizontal="center" vertical="center"/>
    </xf>
    <xf numFmtId="0" fontId="0" fillId="0" borderId="9" xfId="17" applyFont="1" applyAlignment="1">
      <alignment wrapText="1"/>
    </xf>
    <xf numFmtId="164" fontId="4" fillId="0" borderId="0" xfId="0" applyNumberFormat="1" applyFont="1" applyFill="1" applyAlignment="1">
      <alignment horizontal="left" wrapText="1"/>
    </xf>
    <xf numFmtId="0" fontId="6" fillId="4" borderId="1" xfId="12">
      <alignment horizontal="left" indent="1"/>
    </xf>
    <xf numFmtId="0" fontId="0" fillId="0" borderId="0" xfId="0" applyFont="1" applyBorder="1" applyAlignment="1">
      <alignment horizontal="left" wrapText="1"/>
    </xf>
    <xf numFmtId="0" fontId="9" fillId="0" borderId="0" xfId="5" applyFill="1"/>
    <xf numFmtId="0" fontId="9" fillId="0" borderId="0" xfId="4">
      <alignment horizontal="left" vertical="center"/>
    </xf>
    <xf numFmtId="0" fontId="0" fillId="0" borderId="0" xfId="0">
      <alignment wrapText="1"/>
    </xf>
    <xf numFmtId="165" fontId="7" fillId="0" borderId="0" xfId="2">
      <alignment horizontal="center" vertical="center"/>
    </xf>
    <xf numFmtId="0" fontId="0" fillId="0" borderId="7" xfId="16" applyFont="1" applyAlignment="1">
      <alignment wrapText="1"/>
    </xf>
    <xf numFmtId="0" fontId="0" fillId="0" borderId="7" xfId="16" applyFont="1" applyAlignment="1">
      <alignment horizontal="left" wrapText="1"/>
    </xf>
    <xf numFmtId="1" fontId="11" fillId="0" borderId="7" xfId="15" applyBorder="1">
      <alignment horizontal="center"/>
    </xf>
    <xf numFmtId="0" fontId="6" fillId="0" borderId="0" xfId="20">
      <alignment wrapText="1"/>
    </xf>
    <xf numFmtId="0" fontId="9" fillId="0" borderId="7" xfId="5" applyBorder="1"/>
    <xf numFmtId="1" fontId="11" fillId="0" borderId="6" xfId="15" applyBorder="1">
      <alignment horizontal="center"/>
    </xf>
    <xf numFmtId="20" fontId="14" fillId="2" borderId="0" xfId="21">
      <alignment horizontal="left" indent="1"/>
    </xf>
    <xf numFmtId="20" fontId="14" fillId="2" borderId="3" xfId="21" applyBorder="1">
      <alignment horizontal="left" indent="1"/>
    </xf>
    <xf numFmtId="165" fontId="7" fillId="0" borderId="6" xfId="2" applyBorder="1">
      <alignment horizontal="center" vertical="center"/>
    </xf>
    <xf numFmtId="1" fontId="11" fillId="0" borderId="7" xfId="16" applyNumberFormat="1" applyFont="1">
      <alignment horizontal="center"/>
    </xf>
    <xf numFmtId="0" fontId="3" fillId="0" borderId="7" xfId="16" applyFont="1" applyAlignment="1">
      <alignment horizontal="left" wrapText="1"/>
    </xf>
    <xf numFmtId="165" fontId="7" fillId="0" borderId="6" xfId="14" applyNumberFormat="1" applyFont="1" applyAlignment="1">
      <alignment horizontal="center" vertical="center"/>
    </xf>
    <xf numFmtId="0" fontId="13" fillId="0" borderId="6" xfId="1" applyBorder="1">
      <alignment horizontal="center" vertical="center"/>
    </xf>
    <xf numFmtId="20" fontId="14" fillId="2" borderId="4" xfId="21" applyBorder="1">
      <alignment horizontal="left" indent="1"/>
    </xf>
    <xf numFmtId="20" fontId="14" fillId="0" borderId="7" xfId="16" applyNumberFormat="1" applyFill="1" applyAlignment="1">
      <alignment horizontal="left" indent="1"/>
    </xf>
    <xf numFmtId="0" fontId="6" fillId="4" borderId="1" xfId="12">
      <alignment horizontal="left" indent="1"/>
    </xf>
    <xf numFmtId="0" fontId="6" fillId="0" borderId="9" xfId="20" applyBorder="1" applyAlignment="1">
      <alignment wrapText="1"/>
    </xf>
    <xf numFmtId="0" fontId="0" fillId="2" borderId="0" xfId="19" applyFont="1">
      <alignment horizontal="left" vertical="top" indent="1"/>
    </xf>
    <xf numFmtId="0" fontId="1" fillId="2" borderId="9" xfId="19" applyFont="1" applyBorder="1">
      <alignment horizontal="left" vertical="top" indent="1"/>
    </xf>
    <xf numFmtId="0" fontId="12" fillId="2" borderId="9" xfId="19" applyFont="1" applyBorder="1">
      <alignment horizontal="left" vertical="top" indent="1"/>
    </xf>
    <xf numFmtId="0" fontId="0" fillId="2" borderId="7" xfId="19" applyFont="1" applyBorder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9" xfId="21" applyBorder="1">
      <alignment horizontal="left" indent="1"/>
    </xf>
    <xf numFmtId="0" fontId="1" fillId="2" borderId="0" xfId="19" applyFont="1">
      <alignment horizontal="left" vertical="top" indent="1"/>
    </xf>
    <xf numFmtId="0" fontId="12" fillId="2" borderId="0" xfId="19" applyFont="1">
      <alignment horizontal="left" vertical="top" indent="1"/>
    </xf>
    <xf numFmtId="0" fontId="14" fillId="2" borderId="7" xfId="19" applyBorder="1">
      <alignment horizontal="left" vertical="top" indent="1"/>
    </xf>
    <xf numFmtId="0" fontId="0" fillId="2" borderId="7" xfId="16" applyFont="1" applyFill="1" applyAlignment="1">
      <alignment horizontal="left" vertical="top" indent="1"/>
    </xf>
    <xf numFmtId="0" fontId="1" fillId="2" borderId="7" xfId="16" applyFont="1" applyFill="1" applyAlignment="1">
      <alignment horizontal="left" vertical="top" indent="1"/>
    </xf>
    <xf numFmtId="0" fontId="9" fillId="0" borderId="6" xfId="5" applyBorder="1"/>
    <xf numFmtId="0" fontId="1" fillId="2" borderId="0" xfId="19" applyFont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0" xfId="21">
      <alignment horizontal="left" indent="1"/>
    </xf>
    <xf numFmtId="1" fontId="0" fillId="0" borderId="0" xfId="15" applyFont="1" applyAlignment="1">
      <alignment vertical="center"/>
    </xf>
    <xf numFmtId="1" fontId="1" fillId="0" borderId="0" xfId="15" applyFont="1" applyAlignment="1">
      <alignment vertical="center"/>
    </xf>
    <xf numFmtId="1" fontId="1" fillId="0" borderId="7" xfId="16" applyNumberFormat="1" applyFont="1" applyAlignment="1">
      <alignment vertical="center"/>
    </xf>
    <xf numFmtId="1" fontId="1" fillId="0" borderId="6" xfId="15" applyFont="1" applyBorder="1" applyAlignment="1">
      <alignment vertical="center"/>
    </xf>
    <xf numFmtId="1" fontId="0" fillId="0" borderId="7" xfId="16" applyNumberFormat="1" applyFont="1" applyAlignment="1">
      <alignment vertical="center"/>
    </xf>
    <xf numFmtId="0" fontId="15" fillId="6" borderId="11" xfId="0" applyFont="1" applyFill="1" applyBorder="1" applyAlignment="1">
      <alignment horizontal="left"/>
    </xf>
    <xf numFmtId="0" fontId="11" fillId="5" borderId="11" xfId="0" applyFont="1" applyFill="1" applyBorder="1" applyAlignment="1"/>
    <xf numFmtId="0" fontId="0" fillId="5" borderId="11" xfId="0" applyFill="1" applyBorder="1" applyAlignment="1">
      <alignment wrapText="1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vertical="center" wrapText="1"/>
    </xf>
    <xf numFmtId="0" fontId="0" fillId="2" borderId="0" xfId="19" applyFont="1" applyBorder="1">
      <alignment horizontal="left" vertical="top" indent="1"/>
    </xf>
    <xf numFmtId="0" fontId="1" fillId="2" borderId="0" xfId="19" applyFont="1" applyBorder="1">
      <alignment horizontal="left" vertical="top" indent="1"/>
    </xf>
    <xf numFmtId="164" fontId="16" fillId="0" borderId="0" xfId="18" applyNumberFormat="1" applyFont="1" applyFill="1" applyBorder="1">
      <alignment horizontal="left" vertical="center" indent="1"/>
    </xf>
    <xf numFmtId="0" fontId="0" fillId="2" borderId="0" xfId="19" applyFont="1" applyAlignment="1">
      <alignment horizontal="left" vertical="top" wrapText="1" indent="1"/>
    </xf>
    <xf numFmtId="0" fontId="6" fillId="0" borderId="0" xfId="20" applyBorder="1" applyAlignment="1">
      <alignment wrapText="1"/>
    </xf>
    <xf numFmtId="0" fontId="14" fillId="0" borderId="0" xfId="16" applyBorder="1">
      <alignment horizontal="center"/>
    </xf>
    <xf numFmtId="0" fontId="0" fillId="0" borderId="0" xfId="0" applyBorder="1">
      <alignment wrapText="1"/>
    </xf>
    <xf numFmtId="0" fontId="0" fillId="0" borderId="13" xfId="0" applyBorder="1">
      <alignment wrapText="1"/>
    </xf>
    <xf numFmtId="0" fontId="9" fillId="0" borderId="14" xfId="14" applyFont="1" applyBorder="1" applyAlignment="1">
      <alignment vertical="center"/>
    </xf>
    <xf numFmtId="0" fontId="9" fillId="0" borderId="15" xfId="14" applyFont="1" applyBorder="1" applyAlignment="1">
      <alignment vertical="center"/>
    </xf>
    <xf numFmtId="0" fontId="9" fillId="0" borderId="16" xfId="4" applyBorder="1">
      <alignment horizontal="left" vertical="center"/>
    </xf>
    <xf numFmtId="0" fontId="0" fillId="0" borderId="17" xfId="14" applyFont="1" applyBorder="1" applyAlignment="1">
      <alignment wrapText="1"/>
    </xf>
    <xf numFmtId="0" fontId="6" fillId="4" borderId="18" xfId="12" applyBorder="1">
      <alignment horizontal="left" indent="1"/>
    </xf>
    <xf numFmtId="0" fontId="6" fillId="4" borderId="17" xfId="17" applyFont="1" applyFill="1" applyBorder="1" applyAlignment="1">
      <alignment horizontal="left" indent="1"/>
    </xf>
    <xf numFmtId="20" fontId="14" fillId="2" borderId="16" xfId="21" applyBorder="1">
      <alignment horizontal="left" indent="1"/>
    </xf>
    <xf numFmtId="20" fontId="14" fillId="2" borderId="17" xfId="21" applyBorder="1">
      <alignment horizontal="left" indent="1"/>
    </xf>
    <xf numFmtId="0" fontId="0" fillId="2" borderId="16" xfId="19" applyFont="1" applyBorder="1">
      <alignment horizontal="left" vertical="top" indent="1"/>
    </xf>
    <xf numFmtId="0" fontId="0" fillId="2" borderId="17" xfId="19" applyFont="1" applyBorder="1">
      <alignment horizontal="left" vertical="top" indent="1"/>
    </xf>
    <xf numFmtId="20" fontId="14" fillId="2" borderId="19" xfId="21" applyBorder="1">
      <alignment horizontal="left" indent="1"/>
    </xf>
    <xf numFmtId="0" fontId="1" fillId="2" borderId="17" xfId="19" applyFont="1" applyBorder="1">
      <alignment horizontal="left" vertical="top" indent="1"/>
    </xf>
    <xf numFmtId="20" fontId="14" fillId="2" borderId="20" xfId="21" applyBorder="1">
      <alignment horizontal="left" indent="1"/>
    </xf>
    <xf numFmtId="0" fontId="12" fillId="2" borderId="17" xfId="19" applyFont="1" applyBorder="1">
      <alignment horizontal="left" vertical="top" indent="1"/>
    </xf>
    <xf numFmtId="0" fontId="0" fillId="2" borderId="21" xfId="19" applyFont="1" applyBorder="1">
      <alignment horizontal="left" vertical="top" indent="1"/>
    </xf>
    <xf numFmtId="0" fontId="1" fillId="2" borderId="23" xfId="19" applyFont="1" applyBorder="1">
      <alignment horizontal="left" vertical="top" indent="1"/>
    </xf>
    <xf numFmtId="0" fontId="1" fillId="0" borderId="0" xfId="22" applyAlignment="1">
      <alignment wrapText="1"/>
    </xf>
    <xf numFmtId="0" fontId="1" fillId="0" borderId="0" xfId="22"/>
    <xf numFmtId="0" fontId="1" fillId="0" borderId="0" xfId="22" applyNumberFormat="1"/>
    <xf numFmtId="0" fontId="15" fillId="6" borderId="11" xfId="22" applyFont="1" applyFill="1" applyBorder="1"/>
    <xf numFmtId="0" fontId="11" fillId="0" borderId="0" xfId="22" applyFont="1"/>
    <xf numFmtId="0" fontId="1" fillId="0" borderId="11" xfId="22" applyBorder="1"/>
    <xf numFmtId="0" fontId="0" fillId="0" borderId="0" xfId="22" applyFont="1" applyAlignment="1">
      <alignment wrapText="1"/>
    </xf>
    <xf numFmtId="0" fontId="17" fillId="0" borderId="11" xfId="23" applyBorder="1" applyAlignment="1" applyProtection="1"/>
    <xf numFmtId="0" fontId="0" fillId="0" borderId="11" xfId="22" applyFont="1" applyBorder="1" applyAlignment="1">
      <alignment wrapText="1"/>
    </xf>
    <xf numFmtId="1" fontId="0" fillId="0" borderId="6" xfId="15" applyFont="1" applyBorder="1" applyAlignment="1">
      <alignment vertical="center"/>
    </xf>
    <xf numFmtId="1" fontId="0" fillId="0" borderId="0" xfId="15" applyFont="1" applyAlignment="1">
      <alignment horizontal="center" vertical="center"/>
    </xf>
    <xf numFmtId="165" fontId="7" fillId="0" borderId="26" xfId="2" applyBorder="1">
      <alignment horizontal="center" vertical="center"/>
    </xf>
    <xf numFmtId="0" fontId="4" fillId="0" borderId="6" xfId="14" applyNumberFormat="1" applyFont="1" applyBorder="1" applyAlignment="1">
      <alignment horizontal="left" vertical="center" indent="1"/>
    </xf>
    <xf numFmtId="0" fontId="4" fillId="0" borderId="27" xfId="14" applyNumberFormat="1" applyFont="1" applyBorder="1" applyAlignment="1">
      <alignment horizontal="left" vertical="center" indent="1"/>
    </xf>
    <xf numFmtId="0" fontId="0" fillId="0" borderId="24" xfId="0" applyBorder="1">
      <alignment wrapText="1"/>
    </xf>
    <xf numFmtId="164" fontId="4" fillId="0" borderId="17" xfId="18" applyNumberFormat="1" applyFill="1" applyBorder="1">
      <alignment horizontal="left" vertical="center" indent="1"/>
    </xf>
    <xf numFmtId="0" fontId="0" fillId="0" borderId="25" xfId="16" applyFont="1" applyBorder="1" applyAlignment="1">
      <alignment wrapText="1"/>
    </xf>
    <xf numFmtId="164" fontId="4" fillId="0" borderId="7" xfId="18" applyNumberFormat="1" applyFill="1" applyBorder="1">
      <alignment horizontal="left" vertical="center" indent="1"/>
    </xf>
    <xf numFmtId="164" fontId="4" fillId="0" borderId="28" xfId="18" applyNumberFormat="1" applyFill="1" applyBorder="1">
      <alignment horizontal="left" vertical="center" indent="1"/>
    </xf>
    <xf numFmtId="0" fontId="0" fillId="0" borderId="11" xfId="0" applyBorder="1">
      <alignment wrapText="1"/>
    </xf>
    <xf numFmtId="0" fontId="0" fillId="5" borderId="11" xfId="0" applyFill="1" applyBorder="1">
      <alignment wrapText="1"/>
    </xf>
    <xf numFmtId="0" fontId="21" fillId="0" borderId="31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4" fillId="0" borderId="34" xfId="0" applyFont="1" applyBorder="1" applyAlignment="1">
      <alignment vertical="center" wrapText="1"/>
    </xf>
    <xf numFmtId="0" fontId="22" fillId="0" borderId="34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2" fillId="0" borderId="34" xfId="0" applyFont="1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24" fillId="0" borderId="34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19" fillId="0" borderId="32" xfId="0" applyFont="1" applyBorder="1" applyAlignment="1">
      <alignment vertical="top" wrapText="1"/>
    </xf>
    <xf numFmtId="0" fontId="21" fillId="0" borderId="32" xfId="0" applyFont="1" applyBorder="1" applyAlignment="1">
      <alignment horizontal="center" vertical="center" wrapText="1"/>
    </xf>
    <xf numFmtId="0" fontId="6" fillId="4" borderId="8" xfId="12" applyBorder="1">
      <alignment horizontal="left" indent="1"/>
    </xf>
    <xf numFmtId="0" fontId="6" fillId="4" borderId="2" xfId="12" applyBorder="1">
      <alignment horizontal="left" indent="1"/>
    </xf>
    <xf numFmtId="20" fontId="14" fillId="2" borderId="10" xfId="21" applyBorder="1">
      <alignment horizontal="left" indent="1"/>
    </xf>
    <xf numFmtId="0" fontId="1" fillId="2" borderId="0" xfId="19" applyFont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0" xfId="21">
      <alignment horizontal="left" indent="1"/>
    </xf>
    <xf numFmtId="0" fontId="14" fillId="2" borderId="7" xfId="19" applyBorder="1">
      <alignment horizontal="left" vertical="top" inden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29" xfId="0" applyFont="1" applyBorder="1" applyAlignment="1">
      <alignment vertical="center" wrapText="1"/>
    </xf>
    <xf numFmtId="0" fontId="21" fillId="0" borderId="33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0" fillId="2" borderId="0" xfId="19" applyFont="1">
      <alignment horizontal="left" vertical="top" indent="1"/>
    </xf>
    <xf numFmtId="0" fontId="1" fillId="2" borderId="22" xfId="19" applyFont="1" applyBorder="1">
      <alignment horizontal="left" vertical="top" indent="1"/>
    </xf>
    <xf numFmtId="0" fontId="0" fillId="2" borderId="0" xfId="19" applyFont="1" applyBorder="1">
      <alignment horizontal="left" vertical="top" indent="1"/>
    </xf>
    <xf numFmtId="0" fontId="1" fillId="2" borderId="0" xfId="19" applyFont="1" applyBorder="1">
      <alignment horizontal="left" vertical="top" indent="1"/>
    </xf>
    <xf numFmtId="20" fontId="14" fillId="2" borderId="3" xfId="21" applyBorder="1">
      <alignment horizontal="left" indent="1"/>
    </xf>
    <xf numFmtId="20" fontId="14" fillId="2" borderId="12" xfId="21" applyBorder="1">
      <alignment horizontal="left" indent="1"/>
    </xf>
    <xf numFmtId="0" fontId="1" fillId="2" borderId="7" xfId="16" applyFont="1" applyFill="1" applyAlignment="1">
      <alignment horizontal="left" vertical="top" indent="1"/>
    </xf>
  </cellXfs>
  <cellStyles count="24">
    <cellStyle name="Bottom Border" xfId="16"/>
    <cellStyle name="Calendar alignment" xfId="18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23" builtinId="8"/>
    <cellStyle name="Label" xfId="13"/>
    <cellStyle name="Normal" xfId="0" builtinId="0" customBuiltin="1"/>
    <cellStyle name="Normal 2" xfId="22"/>
    <cellStyle name="Note" xfId="11" builtinId="10" customBuiltin="1"/>
    <cellStyle name="Percent" xfId="10" builtinId="5" customBuiltin="1"/>
    <cellStyle name="Right Border" xfId="17"/>
    <cellStyle name="Table heading blank" xfId="20"/>
    <cellStyle name="Time" xfId="21"/>
    <cellStyle name="Title" xfId="1" builtinId="15" customBuiltin="1"/>
    <cellStyle name="Top Border" xfId="14"/>
    <cellStyle name="Weekdays" xfId="12"/>
    <cellStyle name="Weekly Schedule Fill" xfId="19"/>
  </cellStyles>
  <dxfs count="113"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left style="thin">
          <color theme="0"/>
        </left>
        <vertical/>
        <horizontal/>
      </border>
    </dxf>
    <dxf>
      <border>
        <left style="thin">
          <color theme="0"/>
        </left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79998168889431442"/>
        </patternFill>
      </fill>
      <border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color theme="4" tint="-0.499984740745262"/>
      </font>
      <border diagonalUp="0" diagonalDown="0">
        <left style="thin">
          <color theme="4" tint="-0.499984740745262"/>
        </left>
        <right/>
        <top/>
        <bottom style="thin">
          <color theme="4" tint="-0.499984740745262"/>
        </bottom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5" tint="-0.499984740745262"/>
        </horizontal>
      </border>
    </dxf>
  </dxfs>
  <tableStyles count="1" defaultTableStyle="Assignments" defaultPivotStyle="PivotStyleLight16">
    <tableStyle name="Assignments" pivot="0" count="3">
      <tableStyleElement type="wholeTable" dxfId="112"/>
      <tableStyleElement type="headerRow" dxfId="111"/>
      <tableStyleElement type="firstColumn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JanuaryAssignments" displayName="JanuaryAssignments" ref="J1:L31" totalsRowShown="0" headerRowCellStyle="Time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0.xml><?xml version="1.0" encoding="utf-8"?>
<table xmlns="http://schemas.openxmlformats.org/spreadsheetml/2006/main" id="11" name="NovemberAssignments" displayName="Novem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1.xml><?xml version="1.0" encoding="utf-8"?>
<table xmlns="http://schemas.openxmlformats.org/spreadsheetml/2006/main" id="12" name="DecemberAssignments" displayName="DecemberAssignments" ref="J1:L31" totalsRowShown="0" dataCellStyle="Normal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 dataCellStyle="Normal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2.xml><?xml version="1.0" encoding="utf-8"?>
<table xmlns="http://schemas.openxmlformats.org/spreadsheetml/2006/main" id="2" name="FebruaryAssignments" displayName="Februar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 dataCellStyle="Normal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3.xml><?xml version="1.0" encoding="utf-8"?>
<table xmlns="http://schemas.openxmlformats.org/spreadsheetml/2006/main" id="3" name="MachrAssignments" displayName="Mach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4.xml><?xml version="1.0" encoding="utf-8"?>
<table xmlns="http://schemas.openxmlformats.org/spreadsheetml/2006/main" id="4" name="AprilAssignments" displayName="April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5.xml><?xml version="1.0" encoding="utf-8"?>
<table xmlns="http://schemas.openxmlformats.org/spreadsheetml/2006/main" id="5" name="MayAssignments" displayName="Ma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6.xml><?xml version="1.0" encoding="utf-8"?>
<table xmlns="http://schemas.openxmlformats.org/spreadsheetml/2006/main" id="6" name="JuneAssignments" displayName="June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7.xml><?xml version="1.0" encoding="utf-8"?>
<table xmlns="http://schemas.openxmlformats.org/spreadsheetml/2006/main" id="8" name="AugustAssignments" displayName="August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/>
    <tableColumn id="3" name="ASSIGNMENTS"/>
  </tableColumns>
  <tableStyleInfo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8.xml><?xml version="1.0" encoding="utf-8"?>
<table xmlns="http://schemas.openxmlformats.org/spreadsheetml/2006/main" id="9" name="SeptemberAssignments" displayName="Septem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9.xml><?xml version="1.0" encoding="utf-8"?>
<table xmlns="http://schemas.openxmlformats.org/spreadsheetml/2006/main" id="10" name="OctoberAssignments" displayName="Octo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code.visualstud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customWidth="1"/>
    <col min="2" max="2" width="20.625" customWidth="1"/>
    <col min="3" max="8" width="10.625" customWidth="1"/>
    <col min="9" max="9" width="20.625" customWidth="1"/>
    <col min="10" max="11" width="10.625" customWidth="1"/>
    <col min="12" max="12" width="70.625" customWidth="1"/>
    <col min="13" max="13" width="2.625" customWidth="1"/>
    <col min="14" max="14" width="8.625" customWidth="1"/>
  </cols>
  <sheetData>
    <row r="1" spans="1:12" ht="30" customHeight="1" x14ac:dyDescent="0.2">
      <c r="A1" s="27"/>
      <c r="B1" s="15">
        <f ca="1">YEAR(TODAY())</f>
        <v>2017</v>
      </c>
      <c r="C1" s="12" t="s">
        <v>41</v>
      </c>
      <c r="D1" s="2"/>
      <c r="E1" s="2"/>
      <c r="F1" s="2"/>
      <c r="G1" s="2"/>
      <c r="H1" s="2"/>
      <c r="I1" s="2"/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28" t="s">
        <v>0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">
        <v>4</v>
      </c>
      <c r="L2" s="24" t="s">
        <v>3</v>
      </c>
    </row>
    <row r="3" spans="1:12" ht="30" customHeight="1" x14ac:dyDescent="0.25">
      <c r="A3" s="21"/>
      <c r="B3" s="27"/>
      <c r="C3" s="13">
        <f ca="1">IF(DAY(JanSun1)=1,JanSun1-6,JanSun1+1)</f>
        <v>42730</v>
      </c>
      <c r="D3" s="13">
        <f ca="1">IF(DAY(JanSun1)=1,JanSun1-5,JanSun1+2)</f>
        <v>42731</v>
      </c>
      <c r="E3" s="13">
        <f ca="1">IF(DAY(JanSun1)=1,JanSun1-4,JanSun1+3)</f>
        <v>42732</v>
      </c>
      <c r="F3" s="13">
        <f ca="1">IF(DAY(JanSun1)=1,JanSun1-3,JanSun1+4)</f>
        <v>42733</v>
      </c>
      <c r="G3" s="13">
        <f ca="1">IF(DAY(JanSun1)=1,JanSun1-2,JanSun1+5)</f>
        <v>42734</v>
      </c>
      <c r="H3" s="13">
        <f ca="1">IF(DAY(JanSun1)=1,JanSun1-1,JanSun1+6)</f>
        <v>42735</v>
      </c>
      <c r="I3" s="13">
        <f ca="1">IF(DAY(JanSun1)=1,JanSun1,JanSun1+7)</f>
        <v>42736</v>
      </c>
      <c r="J3" s="18"/>
      <c r="K3" s="3"/>
      <c r="L3" s="24"/>
    </row>
    <row r="4" spans="1:12" ht="30" customHeight="1" x14ac:dyDescent="0.25">
      <c r="A4" s="21"/>
      <c r="B4" s="27"/>
      <c r="C4" s="13">
        <f ca="1">IF(DAY(JanSun1)=1,JanSun1+1,JanSun1+8)</f>
        <v>42737</v>
      </c>
      <c r="D4" s="13">
        <f ca="1">IF(DAY(JanSun1)=1,JanSun1+2,JanSun1+9)</f>
        <v>42738</v>
      </c>
      <c r="E4" s="13">
        <f ca="1">IF(DAY(JanSun1)=1,JanSun1+3,JanSun1+10)</f>
        <v>42739</v>
      </c>
      <c r="F4" s="13">
        <f ca="1">IF(DAY(JanSun1)=1,JanSun1+4,JanSun1+11)</f>
        <v>42740</v>
      </c>
      <c r="G4" s="13">
        <f ca="1">IF(DAY(JanSun1)=1,JanSun1+5,JanSun1+12)</f>
        <v>42741</v>
      </c>
      <c r="H4" s="13">
        <f ca="1">IF(DAY(JanSun1)=1,JanSun1+6,JanSun1+13)</f>
        <v>42742</v>
      </c>
      <c r="I4" s="13">
        <f ca="1">IF(DAY(JanSun1)=1,JanSun1+7,JanSun1+14)</f>
        <v>42743</v>
      </c>
      <c r="J4" s="18"/>
      <c r="K4" s="3"/>
      <c r="L4" s="24"/>
    </row>
    <row r="5" spans="1:12" ht="30" customHeight="1" x14ac:dyDescent="0.25">
      <c r="A5" s="21"/>
      <c r="B5" s="27"/>
      <c r="C5" s="13">
        <f ca="1">IF(DAY(JanSun1)=1,JanSun1+8,JanSun1+15)</f>
        <v>42744</v>
      </c>
      <c r="D5" s="13">
        <f ca="1">IF(DAY(JanSun1)=1,JanSun1+9,JanSun1+16)</f>
        <v>42745</v>
      </c>
      <c r="E5" s="13">
        <f ca="1">IF(DAY(JanSun1)=1,JanSun1+10,JanSun1+17)</f>
        <v>42746</v>
      </c>
      <c r="F5" s="13">
        <f ca="1">IF(DAY(JanSun1)=1,JanSun1+11,JanSun1+18)</f>
        <v>42747</v>
      </c>
      <c r="G5" s="13">
        <f ca="1">IF(DAY(JanSun1)=1,JanSun1+12,JanSun1+19)</f>
        <v>42748</v>
      </c>
      <c r="H5" s="13">
        <f ca="1">IF(DAY(JanSun1)=1,JanSun1+13,JanSun1+20)</f>
        <v>42749</v>
      </c>
      <c r="I5" s="13">
        <f ca="1">IF(DAY(JanSun1)=1,JanSun1+14,JanSun1+21)</f>
        <v>42750</v>
      </c>
      <c r="J5" s="18"/>
      <c r="K5" s="3"/>
      <c r="L5" s="24"/>
    </row>
    <row r="6" spans="1:12" ht="30" customHeight="1" x14ac:dyDescent="0.25">
      <c r="A6" s="21"/>
      <c r="B6" s="27"/>
      <c r="C6" s="13">
        <f ca="1">IF(DAY(JanSun1)=1,JanSun1+15,JanSun1+22)</f>
        <v>42751</v>
      </c>
      <c r="D6" s="13">
        <f ca="1">IF(DAY(JanSun1)=1,JanSun1+16,JanSun1+23)</f>
        <v>42752</v>
      </c>
      <c r="E6" s="13">
        <f ca="1">IF(DAY(JanSun1)=1,JanSun1+17,JanSun1+24)</f>
        <v>42753</v>
      </c>
      <c r="F6" s="13">
        <f ca="1">IF(DAY(JanSun1)=1,JanSun1+18,JanSun1+25)</f>
        <v>42754</v>
      </c>
      <c r="G6" s="13">
        <f ca="1">IF(DAY(JanSun1)=1,JanSun1+19,JanSun1+26)</f>
        <v>42755</v>
      </c>
      <c r="H6" s="13">
        <f ca="1">IF(DAY(JanSun1)=1,JanSun1+20,JanSun1+27)</f>
        <v>42756</v>
      </c>
      <c r="I6" s="13">
        <f ca="1">IF(DAY(JanSun1)=1,JanSun1+21,JanSun1+28)</f>
        <v>42757</v>
      </c>
      <c r="J6" s="18"/>
      <c r="K6" s="3"/>
      <c r="L6" s="24"/>
    </row>
    <row r="7" spans="1:12" ht="30" customHeight="1" x14ac:dyDescent="0.25">
      <c r="A7" s="21"/>
      <c r="B7" s="27"/>
      <c r="C7" s="13">
        <f ca="1">IF(DAY(JanSun1)=1,JanSun1+22,JanSun1+29)</f>
        <v>42758</v>
      </c>
      <c r="D7" s="13">
        <f ca="1">IF(DAY(JanSun1)=1,JanSun1+23,JanSun1+30)</f>
        <v>42759</v>
      </c>
      <c r="E7" s="13">
        <f ca="1">IF(DAY(JanSun1)=1,JanSun1+24,JanSun1+31)</f>
        <v>42760</v>
      </c>
      <c r="F7" s="13">
        <f ca="1">IF(DAY(JanSun1)=1,JanSun1+25,JanSun1+32)</f>
        <v>42761</v>
      </c>
      <c r="G7" s="13">
        <f ca="1">IF(DAY(JanSun1)=1,JanSun1+26,JanSun1+33)</f>
        <v>42762</v>
      </c>
      <c r="H7" s="13">
        <f ca="1">IF(DAY(JanSun1)=1,JanSun1+27,JanSun1+34)</f>
        <v>42763</v>
      </c>
      <c r="I7" s="13">
        <f ca="1">IF(DAY(JanSun1)=1,JanSun1+28,JanSun1+35)</f>
        <v>42764</v>
      </c>
      <c r="J7" s="33"/>
      <c r="K7" s="31"/>
      <c r="L7" s="29"/>
    </row>
    <row r="8" spans="1:12" ht="30" customHeight="1" x14ac:dyDescent="0.25">
      <c r="A8" s="21"/>
      <c r="B8" s="29"/>
      <c r="C8" s="16">
        <f ca="1">IF(DAY(JanSun1)=1,JanSun1+29,JanSun1+36)</f>
        <v>42765</v>
      </c>
      <c r="D8" s="16">
        <f ca="1">IF(DAY(JanSun1)=1,JanSun1+30,JanSun1+37)</f>
        <v>42766</v>
      </c>
      <c r="E8" s="16">
        <f ca="1">IF(DAY(JanSun1)=1,JanSun1+31,JanSun1+38)</f>
        <v>42767</v>
      </c>
      <c r="F8" s="16">
        <f ca="1">IF(DAY(JanSun1)=1,JanSun1+32,JanSun1+39)</f>
        <v>42768</v>
      </c>
      <c r="G8" s="16">
        <f ca="1">IF(DAY(JanSun1)=1,JanSun1+33,JanSun1+40)</f>
        <v>42769</v>
      </c>
      <c r="H8" s="16">
        <f ca="1">IF(DAY(JanSun1)=1,JanSun1+34,JanSun1+41)</f>
        <v>42770</v>
      </c>
      <c r="I8" s="16">
        <f ca="1">IF(DAY(JanSun1)=1,JanSun1+35,JanSun1+42)</f>
        <v>42771</v>
      </c>
      <c r="J8" s="18" t="s">
        <v>30</v>
      </c>
      <c r="K8" s="3">
        <v>19</v>
      </c>
      <c r="L8" s="24" t="s">
        <v>32</v>
      </c>
    </row>
    <row r="9" spans="1:12" ht="30" customHeight="1" x14ac:dyDescent="0.25">
      <c r="A9" s="21"/>
      <c r="B9" s="27"/>
      <c r="J9" s="18"/>
      <c r="K9" s="3"/>
      <c r="L9" s="24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4"/>
    </row>
    <row r="11" spans="1:12" ht="30" customHeight="1" x14ac:dyDescent="0.25">
      <c r="A11" s="45" t="s">
        <v>40</v>
      </c>
      <c r="B11" s="23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24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51" t="s">
        <v>9</v>
      </c>
      <c r="J12" s="18"/>
      <c r="K12" s="3"/>
      <c r="L12" s="24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47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51"/>
      <c r="J14" s="18" t="s">
        <v>6</v>
      </c>
      <c r="K14" s="3"/>
      <c r="L14" s="24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47"/>
      <c r="J15" s="18"/>
      <c r="K15" s="3"/>
      <c r="L15" s="24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51" t="s">
        <v>13</v>
      </c>
      <c r="J16" s="18"/>
      <c r="K16" s="3"/>
      <c r="L16" s="24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47" t="s">
        <v>14</v>
      </c>
      <c r="J17" s="18"/>
      <c r="K17" s="3"/>
      <c r="L17" s="24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51"/>
      <c r="J18" s="18"/>
      <c r="K18" s="3"/>
      <c r="L18" s="24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48"/>
      <c r="J19" s="33"/>
      <c r="K19" s="31"/>
      <c r="L19" s="30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51"/>
      <c r="J20" s="18" t="s">
        <v>31</v>
      </c>
      <c r="K20" s="3"/>
      <c r="L20" s="24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47"/>
      <c r="J21" s="18"/>
      <c r="K21" s="3"/>
      <c r="L21" s="24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51"/>
      <c r="J22" s="18"/>
      <c r="K22" s="3"/>
      <c r="L22" s="24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47"/>
      <c r="J23" s="18"/>
      <c r="K23" s="3"/>
      <c r="L23" s="24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51" t="s">
        <v>15</v>
      </c>
      <c r="J24" s="18"/>
      <c r="K24" s="3"/>
      <c r="L24" s="24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47" t="s">
        <v>16</v>
      </c>
      <c r="J25" s="33"/>
      <c r="K25" s="31"/>
      <c r="L25" s="30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51"/>
      <c r="J26" s="18" t="s">
        <v>8</v>
      </c>
      <c r="K26" s="3"/>
      <c r="L26" s="24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47"/>
      <c r="J27" s="18"/>
      <c r="K27" s="3"/>
      <c r="L27" s="24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51"/>
      <c r="J28" s="18"/>
      <c r="K28" s="3"/>
      <c r="L28" s="24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47"/>
      <c r="J29" s="18"/>
      <c r="K29" s="3"/>
      <c r="L29" s="24"/>
    </row>
    <row r="30" spans="1:12" ht="30" customHeight="1" x14ac:dyDescent="0.25">
      <c r="A30" s="45" t="s">
        <v>38</v>
      </c>
      <c r="B30" s="35"/>
      <c r="C30" s="138"/>
      <c r="D30" s="138"/>
      <c r="E30" s="138"/>
      <c r="F30" s="138"/>
      <c r="G30" s="138"/>
      <c r="H30" s="138"/>
      <c r="I30" s="51"/>
      <c r="J30" s="18"/>
      <c r="K30" s="3"/>
      <c r="L30" s="24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J31" s="25"/>
      <c r="K31" s="3"/>
      <c r="L31" s="24"/>
    </row>
  </sheetData>
  <dataConsolidate/>
  <mergeCells count="63">
    <mergeCell ref="E11:F11"/>
    <mergeCell ref="C11:D11"/>
    <mergeCell ref="C17:D17"/>
    <mergeCell ref="C12:D12"/>
    <mergeCell ref="C13:D13"/>
    <mergeCell ref="C14:D14"/>
    <mergeCell ref="C15:D15"/>
    <mergeCell ref="C16:D16"/>
    <mergeCell ref="E14:F14"/>
    <mergeCell ref="E13:F13"/>
    <mergeCell ref="E12:F12"/>
    <mergeCell ref="C31:D3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18:D18"/>
    <mergeCell ref="C19:D19"/>
    <mergeCell ref="C20:D20"/>
    <mergeCell ref="C21:D21"/>
    <mergeCell ref="E31:F31"/>
    <mergeCell ref="E30:F30"/>
    <mergeCell ref="E29:F29"/>
    <mergeCell ref="E28:F28"/>
    <mergeCell ref="E27:F27"/>
    <mergeCell ref="E26:F26"/>
    <mergeCell ref="E25:F25"/>
    <mergeCell ref="E24:F24"/>
    <mergeCell ref="E23:F23"/>
    <mergeCell ref="E22:F22"/>
    <mergeCell ref="E21:F21"/>
    <mergeCell ref="E20:F20"/>
    <mergeCell ref="E19:F19"/>
    <mergeCell ref="E18:F18"/>
    <mergeCell ref="E17:F17"/>
    <mergeCell ref="E16:F16"/>
    <mergeCell ref="E15:F15"/>
    <mergeCell ref="G31:H31"/>
    <mergeCell ref="G20:H20"/>
    <mergeCell ref="G21:H21"/>
    <mergeCell ref="G22:H22"/>
    <mergeCell ref="G28:H28"/>
    <mergeCell ref="G29:H29"/>
    <mergeCell ref="G30:H30"/>
    <mergeCell ref="G23:H23"/>
    <mergeCell ref="G24:H24"/>
    <mergeCell ref="G25:H25"/>
    <mergeCell ref="G26:H26"/>
    <mergeCell ref="G18:H18"/>
    <mergeCell ref="G19:H19"/>
    <mergeCell ref="G14:H14"/>
    <mergeCell ref="G15:H15"/>
    <mergeCell ref="G27:H27"/>
    <mergeCell ref="G11:H11"/>
    <mergeCell ref="G12:H12"/>
    <mergeCell ref="G13:H13"/>
    <mergeCell ref="G16:H16"/>
    <mergeCell ref="G17:H17"/>
  </mergeCells>
  <phoneticPr fontId="2" type="noConversion"/>
  <conditionalFormatting sqref="C3:H3">
    <cfRule type="expression" dxfId="109" priority="9" stopIfTrue="1">
      <formula>DAY(C3)&gt;8</formula>
    </cfRule>
  </conditionalFormatting>
  <conditionalFormatting sqref="C7:I8">
    <cfRule type="expression" dxfId="108" priority="8" stopIfTrue="1">
      <formula>AND(DAY(C7)&gt;=1,DAY(C7)&lt;=15)</formula>
    </cfRule>
  </conditionalFormatting>
  <conditionalFormatting sqref="C3:I8">
    <cfRule type="expression" dxfId="107" priority="20">
      <formula>VLOOKUP(DAY(C3),AssignmentDays,1,FALSE)=DAY(C3)</formula>
    </cfRule>
  </conditionalFormatting>
  <conditionalFormatting sqref="B12:I12 B14:I14 B16:I16 B18:I18 B20:I20 B22:I22 B24:I24 B26:I26 B28:I28 B30:I30">
    <cfRule type="expression" dxfId="106" priority="6">
      <formula>B12&lt;&gt;""</formula>
    </cfRule>
  </conditionalFormatting>
  <conditionalFormatting sqref="B13:I13 B15:I15 B17:I17 B19:I19 B21:I21 B23:I23 B25:I25 B27:I27 B29:I29 B31:I31">
    <cfRule type="expression" dxfId="105" priority="4">
      <formula>B13&lt;&gt;""</formula>
    </cfRule>
  </conditionalFormatting>
  <conditionalFormatting sqref="B13:I13 B15:I15 B17:I17 B19:I19 B21:I21 B23:I23 B25:I25 B27:I27 B29:I29">
    <cfRule type="expression" dxfId="104" priority="3">
      <formula>COLUMN(B12)&gt;=2</formula>
    </cfRule>
  </conditionalFormatting>
  <conditionalFormatting sqref="B12:I31">
    <cfRule type="expression" dxfId="103" priority="1">
      <formula>COLUMN(B11)&gt;2</formula>
    </cfRule>
  </conditionalFormatting>
  <dataValidations xWindow="250" yWindow="581" count="13">
    <dataValidation allowBlank="1" showInputMessage="1" showErrorMessage="1" prompt="Enter year in this cell" sqref="B1"/>
    <dataValidation allowBlank="1" showInputMessage="1" showErrorMessage="1" prompt="Prepare a weekly schedule &amp; create an assignment list in this worksheet. Assignment list entries are automatically highlighted in monthly calendar. Enter calendar year in cell B1" sqref="A1"/>
    <dataValidation allowBlank="1" showInputMessage="1" showErrorMessage="1" prompt="January calendar automatically highlights assignment list entries for the month. Darker fonts are assignments. Lighter fonts are days that belong to the previous or next month" sqref="B2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Enter the time of your class and under it, in a new row, the class name for each weekday in columns B to I. Repeat this pattern for all classes in subsequent rows" sqref="B10"/>
    <dataValidation allowBlank="1" showInputMessage="1" showErrorMessage="1" prompt="Enter class in this row from columns B to I" sqref="B13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Enter time in this row  from columns B to I" sqref="B12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Weekdays are in this row, from Monday to Friday" sqref="B11"/>
  </dataValidations>
  <printOptions horizontalCentered="1" verticalCentered="1"/>
  <pageMargins left="0.5" right="0.5" top="0.5" bottom="0.5" header="0.3" footer="0.3"/>
  <pageSetup scale="58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7" sqref="C17"/>
    </sheetView>
  </sheetViews>
  <sheetFormatPr defaultRowHeight="14.25" x14ac:dyDescent="0.2"/>
  <cols>
    <col min="1" max="1" width="3.375" style="27" customWidth="1"/>
    <col min="2" max="2" width="15.75" bestFit="1" customWidth="1"/>
    <col min="3" max="3" width="67.75" bestFit="1" customWidth="1"/>
    <col min="4" max="4" width="8.25" bestFit="1" customWidth="1"/>
  </cols>
  <sheetData>
    <row r="1" spans="2:4" s="27" customFormat="1" x14ac:dyDescent="0.2"/>
    <row r="2" spans="2:4" ht="15" x14ac:dyDescent="0.25">
      <c r="B2" s="66" t="s">
        <v>42</v>
      </c>
      <c r="C2" s="66" t="s">
        <v>43</v>
      </c>
      <c r="D2" s="66" t="s">
        <v>88</v>
      </c>
    </row>
    <row r="3" spans="2:4" s="27" customFormat="1" ht="15" x14ac:dyDescent="0.25">
      <c r="B3" s="67" t="s">
        <v>75</v>
      </c>
      <c r="C3" s="68"/>
      <c r="D3" s="115"/>
    </row>
    <row r="4" spans="2:4" s="27" customFormat="1" ht="99.75" x14ac:dyDescent="0.2">
      <c r="B4" s="69" t="s">
        <v>76</v>
      </c>
      <c r="C4" s="70" t="s">
        <v>77</v>
      </c>
      <c r="D4" s="114"/>
    </row>
    <row r="5" spans="2:4" s="27" customFormat="1" ht="67.5" customHeight="1" x14ac:dyDescent="0.2">
      <c r="B5" s="69" t="s">
        <v>46</v>
      </c>
      <c r="C5" s="70" t="s">
        <v>89</v>
      </c>
      <c r="D5" s="114"/>
    </row>
    <row r="6" spans="2:4" ht="15" x14ac:dyDescent="0.25">
      <c r="B6" s="67" t="s">
        <v>44</v>
      </c>
      <c r="C6" s="68"/>
      <c r="D6" s="115"/>
    </row>
    <row r="7" spans="2:4" ht="42.75" x14ac:dyDescent="0.2">
      <c r="B7" s="69" t="s">
        <v>45</v>
      </c>
      <c r="C7" s="70" t="s">
        <v>48</v>
      </c>
      <c r="D7" s="114"/>
    </row>
    <row r="8" spans="2:4" s="27" customFormat="1" ht="22.5" customHeight="1" x14ac:dyDescent="0.2">
      <c r="B8" s="69" t="s">
        <v>46</v>
      </c>
      <c r="C8" s="70" t="s">
        <v>47</v>
      </c>
      <c r="D8" s="114"/>
    </row>
    <row r="9" spans="2:4" s="27" customFormat="1" ht="15" x14ac:dyDescent="0.25">
      <c r="B9" s="67" t="s">
        <v>49</v>
      </c>
      <c r="C9" s="68"/>
      <c r="D9" s="115"/>
    </row>
    <row r="10" spans="2:4" s="27" customFormat="1" x14ac:dyDescent="0.2">
      <c r="B10" s="69" t="s">
        <v>50</v>
      </c>
      <c r="C10" s="70"/>
      <c r="D10" s="114"/>
    </row>
    <row r="11" spans="2:4" s="27" customFormat="1" x14ac:dyDescent="0.2">
      <c r="B11" s="69" t="s">
        <v>51</v>
      </c>
      <c r="C11" s="70"/>
      <c r="D11" s="114"/>
    </row>
    <row r="12" spans="2:4" s="27" customFormat="1" x14ac:dyDescent="0.2">
      <c r="B12" s="69" t="s">
        <v>84</v>
      </c>
      <c r="C12" s="70"/>
      <c r="D12" s="114"/>
    </row>
    <row r="13" spans="2:4" s="27" customFormat="1" ht="22.5" customHeight="1" x14ac:dyDescent="0.2">
      <c r="B13" s="69" t="s">
        <v>46</v>
      </c>
      <c r="C13" s="70"/>
      <c r="D13" s="114"/>
    </row>
    <row r="14" spans="2:4" s="27" customFormat="1" ht="15" x14ac:dyDescent="0.25">
      <c r="B14" s="67" t="s">
        <v>54</v>
      </c>
      <c r="C14" s="68"/>
      <c r="D14" s="115"/>
    </row>
    <row r="15" spans="2:4" s="27" customFormat="1" x14ac:dyDescent="0.2">
      <c r="B15" s="69" t="s">
        <v>53</v>
      </c>
      <c r="C15" s="70"/>
      <c r="D15" s="114"/>
    </row>
    <row r="16" spans="2:4" s="27" customFormat="1" x14ac:dyDescent="0.2">
      <c r="B16" s="69" t="s">
        <v>52</v>
      </c>
      <c r="C16" s="70"/>
      <c r="D16" s="114"/>
    </row>
    <row r="17" spans="2:4" s="27" customFormat="1" x14ac:dyDescent="0.2">
      <c r="B17" s="69" t="s">
        <v>85</v>
      </c>
      <c r="C17" s="70"/>
      <c r="D17" s="114"/>
    </row>
    <row r="18" spans="2:4" s="27" customFormat="1" ht="22.5" customHeight="1" x14ac:dyDescent="0.2">
      <c r="B18" s="69" t="s">
        <v>46</v>
      </c>
      <c r="C18" s="70"/>
      <c r="D18" s="114"/>
    </row>
    <row r="19" spans="2:4" ht="15" x14ac:dyDescent="0.25">
      <c r="B19" s="67" t="s">
        <v>86</v>
      </c>
      <c r="C19" s="68"/>
      <c r="D19" s="115"/>
    </row>
    <row r="20" spans="2:4" x14ac:dyDescent="0.2">
      <c r="B20" s="69" t="s">
        <v>87</v>
      </c>
      <c r="C20" s="114"/>
      <c r="D20" s="11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100"/>
  <sheetViews>
    <sheetView showGridLines="0" zoomScale="70" zoomScaleNormal="70" zoomScalePageLayoutView="84" workbookViewId="0">
      <selection activeCell="K25" sqref="K25"/>
    </sheetView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82</v>
      </c>
      <c r="K1" s="32" t="s">
        <v>83</v>
      </c>
      <c r="L1" s="19"/>
    </row>
    <row r="2" spans="1:12" ht="30" customHeight="1" x14ac:dyDescent="0.2">
      <c r="A2" s="21"/>
      <c r="B2" s="106" t="s">
        <v>24</v>
      </c>
      <c r="C2" s="107" t="s">
        <v>2</v>
      </c>
      <c r="D2" s="107" t="s">
        <v>30</v>
      </c>
      <c r="E2" s="107" t="s">
        <v>6</v>
      </c>
      <c r="F2" s="107" t="s">
        <v>31</v>
      </c>
      <c r="G2" s="107" t="s">
        <v>8</v>
      </c>
      <c r="H2" s="107" t="s">
        <v>33</v>
      </c>
      <c r="I2" s="108" t="s">
        <v>34</v>
      </c>
      <c r="J2"/>
      <c r="K2"/>
      <c r="L2"/>
    </row>
    <row r="3" spans="1:12" ht="30" customHeight="1" x14ac:dyDescent="0.2">
      <c r="A3" s="21"/>
      <c r="B3" s="109"/>
      <c r="C3" s="13">
        <f ca="1">IF(DAY(JulSun1)=1,JulSun1-6,JulSun1+1)</f>
        <v>42912</v>
      </c>
      <c r="D3" s="13">
        <f ca="1">IF(DAY(JulSun1)=1,JulSun1-5,JulSun1+2)</f>
        <v>42913</v>
      </c>
      <c r="E3" s="13">
        <f ca="1">IF(DAY(JulSun1)=1,JulSun1-4,JulSun1+3)</f>
        <v>42914</v>
      </c>
      <c r="F3" s="13">
        <f ca="1">IF(DAY(JulSun1)=1,JulSun1-3,JulSun1+4)</f>
        <v>42915</v>
      </c>
      <c r="G3" s="13">
        <f ca="1">IF(DAY(JulSun1)=1,JulSun1-2,JulSun1+5)</f>
        <v>42916</v>
      </c>
      <c r="H3" s="13">
        <f ca="1">IF(DAY(JulSun1)=1,JulSun1-1,JulSun1+6)</f>
        <v>42917</v>
      </c>
      <c r="I3" s="110">
        <f ca="1">IF(DAY(JulSun1)=1,JulSun1,JulSun1+7)</f>
        <v>42918</v>
      </c>
      <c r="J3"/>
      <c r="K3"/>
      <c r="L3"/>
    </row>
    <row r="4" spans="1:12" ht="30" customHeight="1" x14ac:dyDescent="0.2">
      <c r="A4" s="21"/>
      <c r="B4" s="109"/>
      <c r="C4" s="73">
        <f ca="1">IF(DAY(JulSun1)=1,JulSun1+1,JulSun1+8)</f>
        <v>42919</v>
      </c>
      <c r="D4" s="13">
        <f ca="1">IF(DAY(JulSun1)=1,JulSun1+2,JulSun1+9)</f>
        <v>42920</v>
      </c>
      <c r="E4" s="13">
        <f ca="1">IF(DAY(JulSun1)=1,JulSun1+3,JulSun1+10)</f>
        <v>42921</v>
      </c>
      <c r="F4" s="13">
        <f ca="1">IF(DAY(JulSun1)=1,JulSun1+4,JulSun1+11)</f>
        <v>42922</v>
      </c>
      <c r="G4" s="13">
        <f ca="1">IF(DAY(JulSun1)=1,JulSun1+5,JulSun1+12)</f>
        <v>42923</v>
      </c>
      <c r="H4" s="13">
        <f ca="1">IF(DAY(JulSun1)=1,JulSun1+6,JulSun1+13)</f>
        <v>42924</v>
      </c>
      <c r="I4" s="110">
        <f ca="1">IF(DAY(JulSun1)=1,JulSun1+7,JulSun1+14)</f>
        <v>42925</v>
      </c>
      <c r="J4"/>
      <c r="K4"/>
      <c r="L4"/>
    </row>
    <row r="5" spans="1:12" ht="30" customHeight="1" x14ac:dyDescent="0.2">
      <c r="A5" s="21"/>
      <c r="B5" s="109"/>
      <c r="C5" s="13">
        <f ca="1">IF(DAY(JulSun1)=1,JulSun1+8,JulSun1+15)</f>
        <v>42926</v>
      </c>
      <c r="D5" s="13">
        <f ca="1">IF(DAY(JulSun1)=1,JulSun1+9,JulSun1+16)</f>
        <v>42927</v>
      </c>
      <c r="E5" s="13">
        <f ca="1">IF(DAY(JulSun1)=1,JulSun1+10,JulSun1+17)</f>
        <v>42928</v>
      </c>
      <c r="F5" s="13">
        <f ca="1">IF(DAY(JulSun1)=1,JulSun1+11,JulSun1+18)</f>
        <v>42929</v>
      </c>
      <c r="G5" s="13">
        <f ca="1">IF(DAY(JulSun1)=1,JulSun1+12,JulSun1+19)</f>
        <v>42930</v>
      </c>
      <c r="H5" s="13">
        <f ca="1">IF(DAY(JulSun1)=1,JulSun1+13,JulSun1+20)</f>
        <v>42931</v>
      </c>
      <c r="I5" s="110">
        <f ca="1">IF(DAY(JulSun1)=1,JulSun1+14,JulSun1+21)</f>
        <v>42932</v>
      </c>
      <c r="J5"/>
      <c r="K5"/>
      <c r="L5"/>
    </row>
    <row r="6" spans="1:12" ht="30" customHeight="1" x14ac:dyDescent="0.2">
      <c r="A6" s="21"/>
      <c r="B6" s="109"/>
      <c r="C6" s="13">
        <f ca="1">IF(DAY(JulSun1)=1,JulSun1+15,JulSun1+22)</f>
        <v>42933</v>
      </c>
      <c r="D6" s="13">
        <f ca="1">IF(DAY(JulSun1)=1,JulSun1+16,JulSun1+23)</f>
        <v>42934</v>
      </c>
      <c r="E6" s="13">
        <f ca="1">IF(DAY(JulSun1)=1,JulSun1+17,JulSun1+24)</f>
        <v>42935</v>
      </c>
      <c r="F6" s="13">
        <f ca="1">IF(DAY(JulSun1)=1,JulSun1+18,JulSun1+25)</f>
        <v>42936</v>
      </c>
      <c r="G6" s="13">
        <f ca="1">IF(DAY(JulSun1)=1,JulSun1+19,JulSun1+26)</f>
        <v>42937</v>
      </c>
      <c r="H6" s="13">
        <f ca="1">IF(DAY(JulSun1)=1,JulSun1+20,JulSun1+27)</f>
        <v>42938</v>
      </c>
      <c r="I6" s="110">
        <f ca="1">IF(DAY(JulSun1)=1,JulSun1+21,JulSun1+28)</f>
        <v>42939</v>
      </c>
      <c r="J6"/>
      <c r="K6"/>
      <c r="L6"/>
    </row>
    <row r="7" spans="1:12" ht="30" customHeight="1" x14ac:dyDescent="0.2">
      <c r="A7" s="21"/>
      <c r="B7" s="109"/>
      <c r="C7" s="13">
        <f ca="1">IF(DAY(JulSun1)=1,JulSun1+22,JulSun1+29)</f>
        <v>42940</v>
      </c>
      <c r="D7" s="13">
        <f ca="1">IF(DAY(JulSun1)=1,JulSun1+23,JulSun1+30)</f>
        <v>42941</v>
      </c>
      <c r="E7" s="13">
        <f ca="1">IF(DAY(JulSun1)=1,JulSun1+24,JulSun1+31)</f>
        <v>42942</v>
      </c>
      <c r="F7" s="13">
        <f ca="1">IF(DAY(JulSun1)=1,JulSun1+25,JulSun1+32)</f>
        <v>42943</v>
      </c>
      <c r="G7" s="13">
        <f ca="1">IF(DAY(JulSun1)=1,JulSun1+26,JulSun1+33)</f>
        <v>42944</v>
      </c>
      <c r="H7" s="13">
        <f ca="1">IF(DAY(JulSun1)=1,JulSun1+27,JulSun1+34)</f>
        <v>42945</v>
      </c>
      <c r="I7" s="110">
        <f ca="1">IF(DAY(JulSun1)=1,JulSun1+28,JulSun1+35)</f>
        <v>42946</v>
      </c>
      <c r="J7"/>
      <c r="K7"/>
      <c r="L7"/>
    </row>
    <row r="8" spans="1:12" ht="30" customHeight="1" x14ac:dyDescent="0.2">
      <c r="A8" s="21"/>
      <c r="B8" s="111"/>
      <c r="C8" s="112">
        <f ca="1">IF(DAY(JulSun1)=1,JulSun1+29,JulSun1+36)</f>
        <v>42947</v>
      </c>
      <c r="D8" s="112">
        <f ca="1">IF(DAY(JulSun1)=1,JulSun1+30,JulSun1+37)</f>
        <v>42948</v>
      </c>
      <c r="E8" s="112">
        <f ca="1">IF(DAY(JulSun1)=1,JulSun1+31,JulSun1+38)</f>
        <v>42949</v>
      </c>
      <c r="F8" s="112">
        <f ca="1">IF(DAY(JulSun1)=1,JulSun1+32,JulSun1+39)</f>
        <v>42950</v>
      </c>
      <c r="G8" s="112">
        <f ca="1">IF(DAY(JulSun1)=1,JulSun1+33,JulSun1+40)</f>
        <v>42951</v>
      </c>
      <c r="H8" s="112">
        <f ca="1">IF(DAY(JulSun1)=1,JulSun1+34,JulSun1+41)</f>
        <v>42952</v>
      </c>
      <c r="I8" s="113">
        <f ca="1">IF(DAY(JulSun1)=1,JulSun1+35,JulSun1+42)</f>
        <v>42953</v>
      </c>
      <c r="J8"/>
      <c r="K8"/>
      <c r="L8"/>
    </row>
    <row r="9" spans="1:12" ht="30" customHeight="1" x14ac:dyDescent="0.2">
      <c r="A9" s="21"/>
      <c r="C9" s="11"/>
      <c r="D9" s="11"/>
      <c r="E9" s="11"/>
      <c r="F9" s="11"/>
      <c r="G9" s="11"/>
      <c r="H9" s="11"/>
      <c r="I9" s="11"/>
      <c r="J9"/>
      <c r="K9"/>
      <c r="L9"/>
    </row>
    <row r="10" spans="1:12" ht="30" customHeight="1" x14ac:dyDescent="0.2">
      <c r="A10" s="21"/>
      <c r="B10" s="26" t="s">
        <v>55</v>
      </c>
      <c r="C10" s="17"/>
      <c r="D10" s="17"/>
      <c r="E10" s="17"/>
      <c r="F10" s="17"/>
      <c r="G10" s="17"/>
      <c r="H10" s="17"/>
      <c r="I10" s="17"/>
      <c r="J10"/>
      <c r="K10"/>
      <c r="L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"/>
      <c r="K11" s="65"/>
      <c r="L11" s="19" t="s">
        <v>1</v>
      </c>
    </row>
    <row r="12" spans="1:12" ht="30" customHeight="1" x14ac:dyDescent="0.25">
      <c r="A12" s="45" t="s">
        <v>38</v>
      </c>
      <c r="B12" s="35">
        <v>0.35416666666666669</v>
      </c>
      <c r="C12" s="135"/>
      <c r="D12" s="135"/>
      <c r="E12" s="135">
        <v>0.35416666666666669</v>
      </c>
      <c r="F12" s="135"/>
      <c r="G12" s="135"/>
      <c r="H12" s="135"/>
      <c r="I12" s="60">
        <v>0.35416666666666669</v>
      </c>
      <c r="J12" s="18" t="s">
        <v>2</v>
      </c>
      <c r="K12" s="105">
        <v>1</v>
      </c>
      <c r="L12" s="104" t="s">
        <v>80</v>
      </c>
    </row>
    <row r="13" spans="1:12" ht="30" customHeight="1" x14ac:dyDescent="0.25">
      <c r="A13" s="45" t="s">
        <v>39</v>
      </c>
      <c r="B13" s="74" t="s">
        <v>59</v>
      </c>
      <c r="C13" s="136"/>
      <c r="D13" s="136"/>
      <c r="E13" s="145" t="s">
        <v>35</v>
      </c>
      <c r="F13" s="136"/>
      <c r="G13" s="136"/>
      <c r="H13" s="136"/>
      <c r="I13" s="46" t="s">
        <v>35</v>
      </c>
      <c r="J13" s="18"/>
      <c r="K13" s="105">
        <v>2</v>
      </c>
      <c r="L13" s="61" t="s">
        <v>81</v>
      </c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/>
      <c r="K14" s="62"/>
      <c r="L14" s="27"/>
    </row>
    <row r="15" spans="1:12" ht="30" customHeight="1" x14ac:dyDescent="0.25">
      <c r="A15" s="45" t="s">
        <v>39</v>
      </c>
      <c r="B15" s="46"/>
      <c r="C15" s="145" t="s">
        <v>35</v>
      </c>
      <c r="D15" s="136"/>
      <c r="E15" s="136"/>
      <c r="F15" s="136"/>
      <c r="G15" s="145" t="s">
        <v>35</v>
      </c>
      <c r="H15" s="136"/>
      <c r="I15" s="52"/>
      <c r="J15" s="1"/>
      <c r="K15" s="65"/>
      <c r="L15" s="30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 t="s">
        <v>30</v>
      </c>
      <c r="K16" s="64"/>
      <c r="L16" s="10"/>
    </row>
    <row r="17" spans="1:12" ht="30" customHeight="1" x14ac:dyDescent="0.25">
      <c r="A17" s="45" t="s">
        <v>39</v>
      </c>
      <c r="B17" s="74" t="s">
        <v>60</v>
      </c>
      <c r="C17" s="136"/>
      <c r="D17" s="136"/>
      <c r="E17" s="145" t="s">
        <v>35</v>
      </c>
      <c r="F17" s="136"/>
      <c r="G17" s="136"/>
      <c r="H17" s="136"/>
      <c r="I17" s="46" t="s">
        <v>35</v>
      </c>
      <c r="J17" s="18"/>
      <c r="K17" s="62"/>
      <c r="L17" s="10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J18" s="18"/>
      <c r="K18" s="62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1"/>
      <c r="K19" s="63"/>
      <c r="L19" s="3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60"/>
      <c r="J20" s="18" t="s">
        <v>6</v>
      </c>
      <c r="K20" s="61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61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J22" s="18"/>
      <c r="K22" s="61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"/>
      <c r="K23" s="63"/>
      <c r="L23" s="39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 t="s">
        <v>31</v>
      </c>
      <c r="K24" s="64"/>
      <c r="L24" s="10"/>
    </row>
    <row r="25" spans="1:12" ht="30" customHeight="1" x14ac:dyDescent="0.25">
      <c r="A25" s="45" t="s">
        <v>39</v>
      </c>
      <c r="B25" s="46" t="s">
        <v>61</v>
      </c>
      <c r="C25" s="136"/>
      <c r="D25" s="136"/>
      <c r="E25" s="145" t="s">
        <v>35</v>
      </c>
      <c r="F25" s="136"/>
      <c r="G25" s="136"/>
      <c r="H25" s="136"/>
      <c r="I25" s="46" t="s">
        <v>35</v>
      </c>
      <c r="J25" s="18"/>
      <c r="K25" s="62"/>
      <c r="L25" s="10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/>
      <c r="K26" s="62"/>
      <c r="L26" s="10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"/>
      <c r="K27" s="63"/>
      <c r="L27" s="39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 t="s">
        <v>8</v>
      </c>
      <c r="K28" s="104"/>
      <c r="L28" s="10"/>
    </row>
    <row r="29" spans="1:12" ht="30" customHeight="1" x14ac:dyDescent="0.25">
      <c r="A29" s="45" t="s">
        <v>39</v>
      </c>
      <c r="B29" s="46"/>
      <c r="C29" s="145" t="s">
        <v>35</v>
      </c>
      <c r="D29" s="136"/>
      <c r="E29" s="136"/>
      <c r="F29" s="136"/>
      <c r="G29" s="136" t="s">
        <v>18</v>
      </c>
      <c r="H29" s="136"/>
      <c r="I29" s="52"/>
      <c r="J29" s="18"/>
      <c r="K29" s="61"/>
      <c r="L29" s="10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J30" s="18"/>
      <c r="K30" s="62"/>
      <c r="L30" s="10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J31" s="1"/>
      <c r="K31" s="63"/>
      <c r="L31" s="39"/>
    </row>
    <row r="32" spans="1:12" s="27" customFormat="1" ht="30" customHeight="1" x14ac:dyDescent="0.2">
      <c r="A32" s="75"/>
      <c r="C32" s="11"/>
      <c r="D32" s="11"/>
      <c r="E32" s="11"/>
      <c r="F32" s="11"/>
      <c r="G32" s="11"/>
      <c r="H32" s="11"/>
      <c r="I32" s="11"/>
      <c r="K32" s="8"/>
      <c r="L32" s="2"/>
    </row>
    <row r="33" spans="2:9" ht="30" customHeight="1" x14ac:dyDescent="0.2">
      <c r="B33" s="26" t="s">
        <v>56</v>
      </c>
      <c r="C33" s="17"/>
      <c r="D33" s="17"/>
      <c r="E33" s="17"/>
      <c r="F33" s="17"/>
      <c r="G33" s="17"/>
      <c r="H33" s="17"/>
      <c r="I33" s="17"/>
    </row>
    <row r="34" spans="2:9" ht="30" customHeight="1" x14ac:dyDescent="0.2">
      <c r="B34" s="44" t="s">
        <v>2</v>
      </c>
      <c r="C34" s="133" t="s">
        <v>4</v>
      </c>
      <c r="D34" s="134"/>
      <c r="E34" s="133" t="s">
        <v>6</v>
      </c>
      <c r="F34" s="134"/>
      <c r="G34" s="133" t="s">
        <v>7</v>
      </c>
      <c r="H34" s="134"/>
      <c r="I34" s="9" t="s">
        <v>8</v>
      </c>
    </row>
    <row r="35" spans="2:9" ht="30" customHeight="1" x14ac:dyDescent="0.2">
      <c r="B35" s="60">
        <v>0.35416666666666669</v>
      </c>
      <c r="C35" s="135"/>
      <c r="D35" s="135"/>
      <c r="E35" s="135">
        <v>0.35416666666666669</v>
      </c>
      <c r="F35" s="135"/>
      <c r="G35" s="135"/>
      <c r="H35" s="135"/>
      <c r="I35" s="60">
        <v>0.35416666666666669</v>
      </c>
    </row>
    <row r="36" spans="2:9" ht="30" customHeight="1" x14ac:dyDescent="0.2">
      <c r="B36" s="46" t="s">
        <v>35</v>
      </c>
      <c r="C36" s="136"/>
      <c r="D36" s="136"/>
      <c r="E36" s="145" t="s">
        <v>35</v>
      </c>
      <c r="F36" s="136"/>
      <c r="G36" s="136"/>
      <c r="H36" s="136"/>
      <c r="I36" s="46" t="s">
        <v>35</v>
      </c>
    </row>
    <row r="37" spans="2:9" ht="30" customHeight="1" x14ac:dyDescent="0.2">
      <c r="B37" s="60"/>
      <c r="C37" s="135" t="s">
        <v>11</v>
      </c>
      <c r="D37" s="135"/>
      <c r="E37" s="135"/>
      <c r="F37" s="135"/>
      <c r="G37" s="135" t="s">
        <v>11</v>
      </c>
      <c r="H37" s="135"/>
      <c r="I37" s="36"/>
    </row>
    <row r="38" spans="2:9" ht="30" customHeight="1" x14ac:dyDescent="0.2">
      <c r="B38" s="46"/>
      <c r="C38" s="145" t="s">
        <v>35</v>
      </c>
      <c r="D38" s="136"/>
      <c r="E38" s="136"/>
      <c r="F38" s="136"/>
      <c r="G38" s="145" t="s">
        <v>35</v>
      </c>
      <c r="H38" s="136"/>
      <c r="I38" s="58"/>
    </row>
    <row r="39" spans="2:9" ht="30" customHeight="1" x14ac:dyDescent="0.2">
      <c r="B39" s="60" t="s">
        <v>13</v>
      </c>
      <c r="C39" s="135"/>
      <c r="D39" s="135"/>
      <c r="E39" s="135" t="s">
        <v>13</v>
      </c>
      <c r="F39" s="135"/>
      <c r="G39" s="135"/>
      <c r="H39" s="135"/>
      <c r="I39" s="42" t="s">
        <v>13</v>
      </c>
    </row>
    <row r="40" spans="2:9" ht="30" customHeight="1" x14ac:dyDescent="0.2">
      <c r="B40" s="46" t="s">
        <v>35</v>
      </c>
      <c r="C40" s="136"/>
      <c r="D40" s="136"/>
      <c r="E40" s="145" t="s">
        <v>35</v>
      </c>
      <c r="F40" s="136"/>
      <c r="G40" s="136"/>
      <c r="H40" s="136"/>
      <c r="I40" s="46" t="s">
        <v>35</v>
      </c>
    </row>
    <row r="41" spans="2:9" ht="30" customHeight="1" x14ac:dyDescent="0.2">
      <c r="B41" s="60"/>
      <c r="C41" s="135"/>
      <c r="D41" s="135"/>
      <c r="E41" s="135"/>
      <c r="F41" s="135"/>
      <c r="G41" s="135"/>
      <c r="H41" s="135"/>
      <c r="I41" s="36"/>
    </row>
    <row r="42" spans="2:9" ht="30" customHeight="1" x14ac:dyDescent="0.2">
      <c r="B42" s="46"/>
      <c r="C42" s="136"/>
      <c r="D42" s="136"/>
      <c r="E42" s="136"/>
      <c r="F42" s="136"/>
      <c r="G42" s="136"/>
      <c r="H42" s="136"/>
      <c r="I42" s="53"/>
    </row>
    <row r="43" spans="2:9" ht="30" customHeight="1" x14ac:dyDescent="0.2">
      <c r="B43" s="60"/>
      <c r="C43" s="135"/>
      <c r="D43" s="135"/>
      <c r="E43" s="135"/>
      <c r="F43" s="135"/>
      <c r="G43" s="135"/>
      <c r="H43" s="135"/>
      <c r="I43" s="36"/>
    </row>
    <row r="44" spans="2:9" ht="30" customHeight="1" x14ac:dyDescent="0.2">
      <c r="B44" s="46"/>
      <c r="C44" s="136"/>
      <c r="D44" s="136"/>
      <c r="E44" s="136"/>
      <c r="F44" s="136"/>
      <c r="G44" s="136"/>
      <c r="H44" s="136"/>
      <c r="I44" s="58"/>
    </row>
    <row r="45" spans="2:9" ht="30" customHeight="1" x14ac:dyDescent="0.2">
      <c r="B45" s="60"/>
      <c r="C45" s="135"/>
      <c r="D45" s="135"/>
      <c r="E45" s="135"/>
      <c r="F45" s="135"/>
      <c r="G45" s="135"/>
      <c r="H45" s="135"/>
      <c r="I45" s="36"/>
    </row>
    <row r="46" spans="2:9" ht="30" customHeight="1" x14ac:dyDescent="0.2">
      <c r="B46" s="46"/>
      <c r="C46" s="136"/>
      <c r="D46" s="136"/>
      <c r="E46" s="136"/>
      <c r="F46" s="136"/>
      <c r="G46" s="136"/>
      <c r="H46" s="136"/>
      <c r="I46" s="58"/>
    </row>
    <row r="47" spans="2:9" ht="30" customHeight="1" x14ac:dyDescent="0.2">
      <c r="B47" s="60" t="s">
        <v>15</v>
      </c>
      <c r="C47" s="135"/>
      <c r="D47" s="135"/>
      <c r="E47" s="135" t="s">
        <v>15</v>
      </c>
      <c r="F47" s="135"/>
      <c r="G47" s="135"/>
      <c r="H47" s="135"/>
      <c r="I47" s="36" t="s">
        <v>15</v>
      </c>
    </row>
    <row r="48" spans="2:9" ht="30" customHeight="1" x14ac:dyDescent="0.2">
      <c r="B48" s="46" t="s">
        <v>35</v>
      </c>
      <c r="C48" s="136"/>
      <c r="D48" s="136"/>
      <c r="E48" s="145" t="s">
        <v>35</v>
      </c>
      <c r="F48" s="136"/>
      <c r="G48" s="136"/>
      <c r="H48" s="136"/>
      <c r="I48" s="46" t="s">
        <v>35</v>
      </c>
    </row>
    <row r="49" spans="1:12" ht="30" customHeight="1" x14ac:dyDescent="0.2">
      <c r="B49" s="60"/>
      <c r="C49" s="135"/>
      <c r="D49" s="135"/>
      <c r="E49" s="135"/>
      <c r="F49" s="135"/>
      <c r="G49" s="135"/>
      <c r="H49" s="135"/>
      <c r="I49" s="36"/>
    </row>
    <row r="50" spans="1:12" ht="30" customHeight="1" x14ac:dyDescent="0.2">
      <c r="B50" s="46"/>
      <c r="C50" s="136"/>
      <c r="D50" s="136"/>
      <c r="E50" s="136"/>
      <c r="F50" s="136"/>
      <c r="G50" s="136"/>
      <c r="H50" s="136"/>
      <c r="I50" s="58"/>
    </row>
    <row r="51" spans="1:12" ht="30" customHeight="1" x14ac:dyDescent="0.2">
      <c r="B51" s="60"/>
      <c r="C51" s="135" t="s">
        <v>17</v>
      </c>
      <c r="D51" s="135"/>
      <c r="E51" s="135"/>
      <c r="F51" s="135"/>
      <c r="G51" s="135" t="s">
        <v>17</v>
      </c>
      <c r="H51" s="135"/>
      <c r="I51" s="36"/>
    </row>
    <row r="52" spans="1:12" ht="30" customHeight="1" x14ac:dyDescent="0.2">
      <c r="B52" s="46"/>
      <c r="C52" s="136" t="s">
        <v>18</v>
      </c>
      <c r="D52" s="136"/>
      <c r="E52" s="136"/>
      <c r="F52" s="136"/>
      <c r="G52" s="145" t="s">
        <v>35</v>
      </c>
      <c r="H52" s="136"/>
      <c r="I52" s="58"/>
    </row>
    <row r="53" spans="1:12" ht="30" customHeight="1" x14ac:dyDescent="0.2">
      <c r="B53" s="60"/>
      <c r="C53" s="135"/>
      <c r="D53" s="135"/>
      <c r="E53" s="135"/>
      <c r="F53" s="135"/>
      <c r="G53" s="135"/>
      <c r="H53" s="135"/>
      <c r="I53" s="36"/>
      <c r="K53" s="27"/>
    </row>
    <row r="54" spans="1:12" ht="30" customHeight="1" x14ac:dyDescent="0.2">
      <c r="B54" s="49"/>
      <c r="C54" s="137"/>
      <c r="D54" s="137"/>
      <c r="E54" s="137"/>
      <c r="F54" s="137"/>
      <c r="G54" s="137"/>
      <c r="H54" s="137"/>
      <c r="I54" s="59"/>
    </row>
    <row r="55" spans="1:12" s="27" customFormat="1" ht="30" customHeight="1" x14ac:dyDescent="0.2">
      <c r="A55" s="2"/>
      <c r="C55" s="11"/>
      <c r="D55" s="11"/>
      <c r="E55" s="11"/>
      <c r="F55" s="11"/>
      <c r="G55" s="11"/>
      <c r="H55" s="11"/>
      <c r="I55" s="11"/>
      <c r="K55" s="8"/>
      <c r="L55" s="2"/>
    </row>
    <row r="56" spans="1:12" ht="30" customHeight="1" x14ac:dyDescent="0.2">
      <c r="B56" s="26" t="s">
        <v>57</v>
      </c>
      <c r="C56" s="17"/>
      <c r="D56" s="17"/>
      <c r="E56" s="17"/>
      <c r="F56" s="17"/>
      <c r="G56" s="17"/>
      <c r="H56" s="17"/>
      <c r="I56" s="17"/>
    </row>
    <row r="57" spans="1:12" ht="30" customHeight="1" x14ac:dyDescent="0.2">
      <c r="B57" s="44" t="s">
        <v>2</v>
      </c>
      <c r="C57" s="133" t="s">
        <v>4</v>
      </c>
      <c r="D57" s="134"/>
      <c r="E57" s="133" t="s">
        <v>6</v>
      </c>
      <c r="F57" s="134"/>
      <c r="G57" s="133" t="s">
        <v>7</v>
      </c>
      <c r="H57" s="134"/>
      <c r="I57" s="9" t="s">
        <v>8</v>
      </c>
    </row>
    <row r="58" spans="1:12" ht="30" customHeight="1" x14ac:dyDescent="0.2">
      <c r="B58" s="60">
        <v>0.35416666666666669</v>
      </c>
      <c r="C58" s="135"/>
      <c r="D58" s="135"/>
      <c r="E58" s="135">
        <v>0.35416666666666669</v>
      </c>
      <c r="F58" s="135"/>
      <c r="G58" s="135"/>
      <c r="H58" s="135"/>
      <c r="I58" s="60">
        <v>0.35416666666666669</v>
      </c>
    </row>
    <row r="59" spans="1:12" ht="30" customHeight="1" x14ac:dyDescent="0.2">
      <c r="B59" s="46" t="s">
        <v>35</v>
      </c>
      <c r="C59" s="136"/>
      <c r="D59" s="136"/>
      <c r="E59" s="145" t="s">
        <v>35</v>
      </c>
      <c r="F59" s="136"/>
      <c r="G59" s="136"/>
      <c r="H59" s="136"/>
      <c r="I59" s="46" t="s">
        <v>35</v>
      </c>
    </row>
    <row r="60" spans="1:12" ht="30" customHeight="1" x14ac:dyDescent="0.2">
      <c r="B60" s="60"/>
      <c r="C60" s="135" t="s">
        <v>11</v>
      </c>
      <c r="D60" s="135"/>
      <c r="E60" s="135"/>
      <c r="F60" s="135"/>
      <c r="G60" s="135" t="s">
        <v>11</v>
      </c>
      <c r="H60" s="135"/>
      <c r="I60" s="36"/>
    </row>
    <row r="61" spans="1:12" ht="30" customHeight="1" x14ac:dyDescent="0.2">
      <c r="B61" s="46"/>
      <c r="C61" s="145" t="s">
        <v>35</v>
      </c>
      <c r="D61" s="136"/>
      <c r="E61" s="136"/>
      <c r="F61" s="136"/>
      <c r="G61" s="145" t="s">
        <v>35</v>
      </c>
      <c r="H61" s="136"/>
      <c r="I61" s="58"/>
    </row>
    <row r="62" spans="1:12" ht="30" customHeight="1" x14ac:dyDescent="0.2">
      <c r="B62" s="60">
        <v>0.41666666666666669</v>
      </c>
      <c r="C62" s="135"/>
      <c r="D62" s="135"/>
      <c r="E62" s="135" t="s">
        <v>13</v>
      </c>
      <c r="F62" s="135"/>
      <c r="G62" s="135"/>
      <c r="H62" s="135"/>
      <c r="I62" s="42" t="s">
        <v>13</v>
      </c>
    </row>
    <row r="63" spans="1:12" ht="30" customHeight="1" x14ac:dyDescent="0.2">
      <c r="B63" s="46" t="s">
        <v>35</v>
      </c>
      <c r="C63" s="136"/>
      <c r="D63" s="136"/>
      <c r="E63" s="145" t="s">
        <v>35</v>
      </c>
      <c r="F63" s="136"/>
      <c r="G63" s="136"/>
      <c r="H63" s="136"/>
      <c r="I63" s="46" t="s">
        <v>35</v>
      </c>
    </row>
    <row r="64" spans="1:12" ht="30" customHeight="1" x14ac:dyDescent="0.2">
      <c r="B64" s="60"/>
      <c r="C64" s="135"/>
      <c r="D64" s="135"/>
      <c r="E64" s="135"/>
      <c r="F64" s="135"/>
      <c r="G64" s="135"/>
      <c r="H64" s="135"/>
      <c r="I64" s="36"/>
    </row>
    <row r="65" spans="1:12" ht="30" customHeight="1" x14ac:dyDescent="0.2">
      <c r="B65" s="46"/>
      <c r="C65" s="136"/>
      <c r="D65" s="136"/>
      <c r="E65" s="136"/>
      <c r="F65" s="136"/>
      <c r="G65" s="136"/>
      <c r="H65" s="136"/>
      <c r="I65" s="53"/>
    </row>
    <row r="66" spans="1:12" ht="30" customHeight="1" x14ac:dyDescent="0.2">
      <c r="B66" s="60"/>
      <c r="C66" s="135"/>
      <c r="D66" s="135"/>
      <c r="E66" s="135"/>
      <c r="F66" s="135"/>
      <c r="G66" s="135"/>
      <c r="H66" s="135"/>
      <c r="I66" s="36"/>
    </row>
    <row r="67" spans="1:12" ht="30" customHeight="1" x14ac:dyDescent="0.2">
      <c r="B67" s="46"/>
      <c r="C67" s="136"/>
      <c r="D67" s="136"/>
      <c r="E67" s="136"/>
      <c r="F67" s="136"/>
      <c r="G67" s="136"/>
      <c r="H67" s="136"/>
      <c r="I67" s="58"/>
    </row>
    <row r="68" spans="1:12" ht="30" customHeight="1" x14ac:dyDescent="0.2">
      <c r="B68" s="60"/>
      <c r="C68" s="135"/>
      <c r="D68" s="135"/>
      <c r="E68" s="135"/>
      <c r="F68" s="135"/>
      <c r="G68" s="135"/>
      <c r="H68" s="135"/>
      <c r="I68" s="36"/>
    </row>
    <row r="69" spans="1:12" ht="30" customHeight="1" x14ac:dyDescent="0.2">
      <c r="B69" s="46"/>
      <c r="C69" s="136"/>
      <c r="D69" s="136"/>
      <c r="E69" s="136"/>
      <c r="F69" s="136"/>
      <c r="G69" s="136"/>
      <c r="H69" s="136"/>
      <c r="I69" s="58"/>
    </row>
    <row r="70" spans="1:12" ht="30" customHeight="1" x14ac:dyDescent="0.2">
      <c r="B70" s="60" t="s">
        <v>15</v>
      </c>
      <c r="C70" s="135"/>
      <c r="D70" s="135"/>
      <c r="E70" s="135" t="s">
        <v>15</v>
      </c>
      <c r="F70" s="135"/>
      <c r="G70" s="135"/>
      <c r="H70" s="135"/>
      <c r="I70" s="36" t="s">
        <v>15</v>
      </c>
    </row>
    <row r="71" spans="1:12" ht="30" customHeight="1" x14ac:dyDescent="0.2">
      <c r="B71" s="46" t="s">
        <v>35</v>
      </c>
      <c r="C71" s="136"/>
      <c r="D71" s="136"/>
      <c r="E71" s="145" t="s">
        <v>35</v>
      </c>
      <c r="F71" s="136"/>
      <c r="G71" s="136"/>
      <c r="H71" s="136"/>
      <c r="I71" s="46" t="s">
        <v>35</v>
      </c>
    </row>
    <row r="72" spans="1:12" ht="30" customHeight="1" x14ac:dyDescent="0.2">
      <c r="B72" s="60"/>
      <c r="C72" s="135"/>
      <c r="D72" s="135"/>
      <c r="E72" s="135"/>
      <c r="F72" s="135"/>
      <c r="G72" s="135"/>
      <c r="H72" s="135"/>
      <c r="I72" s="36"/>
    </row>
    <row r="73" spans="1:12" ht="30" customHeight="1" x14ac:dyDescent="0.2">
      <c r="B73" s="46"/>
      <c r="C73" s="136"/>
      <c r="D73" s="136"/>
      <c r="E73" s="136"/>
      <c r="F73" s="136"/>
      <c r="G73" s="136"/>
      <c r="H73" s="136"/>
      <c r="I73" s="58"/>
    </row>
    <row r="74" spans="1:12" ht="30" customHeight="1" x14ac:dyDescent="0.2">
      <c r="B74" s="60"/>
      <c r="C74" s="135" t="s">
        <v>17</v>
      </c>
      <c r="D74" s="135"/>
      <c r="E74" s="135"/>
      <c r="F74" s="135"/>
      <c r="G74" s="135" t="s">
        <v>17</v>
      </c>
      <c r="H74" s="135"/>
      <c r="I74" s="36"/>
    </row>
    <row r="75" spans="1:12" ht="30" customHeight="1" x14ac:dyDescent="0.2">
      <c r="B75" s="46"/>
      <c r="C75" s="136" t="s">
        <v>18</v>
      </c>
      <c r="D75" s="136"/>
      <c r="E75" s="136"/>
      <c r="F75" s="136"/>
      <c r="G75" s="136" t="s">
        <v>18</v>
      </c>
      <c r="H75" s="136"/>
      <c r="I75" s="58"/>
    </row>
    <row r="76" spans="1:12" ht="30" customHeight="1" x14ac:dyDescent="0.2">
      <c r="B76" s="60"/>
      <c r="C76" s="135"/>
      <c r="D76" s="135"/>
      <c r="E76" s="135"/>
      <c r="F76" s="135"/>
      <c r="G76" s="135"/>
      <c r="H76" s="135"/>
      <c r="I76" s="36"/>
      <c r="K76" s="27"/>
    </row>
    <row r="77" spans="1:12" ht="30" customHeight="1" x14ac:dyDescent="0.2">
      <c r="B77" s="49"/>
      <c r="C77" s="137"/>
      <c r="D77" s="137"/>
      <c r="E77" s="137"/>
      <c r="F77" s="137"/>
      <c r="G77" s="137"/>
      <c r="H77" s="137"/>
      <c r="I77" s="59"/>
    </row>
    <row r="78" spans="1:12" s="27" customFormat="1" ht="30" customHeight="1" x14ac:dyDescent="0.2">
      <c r="A78" s="2"/>
      <c r="C78" s="11"/>
      <c r="D78" s="11"/>
      <c r="E78" s="11"/>
      <c r="F78" s="11"/>
      <c r="G78" s="11"/>
      <c r="H78" s="11"/>
      <c r="I78" s="11"/>
      <c r="K78" s="8"/>
      <c r="L78" s="2"/>
    </row>
    <row r="79" spans="1:12" ht="30" customHeight="1" x14ac:dyDescent="0.2">
      <c r="B79" s="26" t="s">
        <v>58</v>
      </c>
      <c r="C79" s="17"/>
      <c r="D79" s="17"/>
      <c r="E79" s="17"/>
      <c r="F79" s="17"/>
      <c r="G79" s="17"/>
      <c r="H79" s="17"/>
      <c r="I79" s="17"/>
    </row>
    <row r="80" spans="1:12" ht="30" customHeight="1" x14ac:dyDescent="0.2">
      <c r="B80" s="44" t="s">
        <v>2</v>
      </c>
      <c r="C80" s="133" t="s">
        <v>4</v>
      </c>
      <c r="D80" s="134"/>
      <c r="E80" s="133" t="s">
        <v>6</v>
      </c>
      <c r="F80" s="134"/>
      <c r="G80" s="133" t="s">
        <v>7</v>
      </c>
      <c r="H80" s="134"/>
      <c r="I80" s="9" t="s">
        <v>8</v>
      </c>
    </row>
    <row r="81" spans="2:9" ht="30" customHeight="1" x14ac:dyDescent="0.2">
      <c r="B81" s="60">
        <v>0.35416666666666669</v>
      </c>
      <c r="C81" s="135"/>
      <c r="D81" s="135"/>
      <c r="E81" s="135">
        <v>0.35416666666666669</v>
      </c>
      <c r="F81" s="135"/>
      <c r="G81" s="135"/>
      <c r="H81" s="135"/>
      <c r="I81" s="60">
        <v>0.35416666666666669</v>
      </c>
    </row>
    <row r="82" spans="2:9" ht="30" customHeight="1" x14ac:dyDescent="0.2">
      <c r="B82" s="46" t="s">
        <v>35</v>
      </c>
      <c r="C82" s="136"/>
      <c r="D82" s="136"/>
      <c r="E82" s="145" t="s">
        <v>35</v>
      </c>
      <c r="F82" s="136"/>
      <c r="G82" s="136"/>
      <c r="H82" s="136"/>
      <c r="I82" s="46" t="s">
        <v>35</v>
      </c>
    </row>
    <row r="83" spans="2:9" ht="30" customHeight="1" x14ac:dyDescent="0.2">
      <c r="B83" s="60"/>
      <c r="C83" s="135" t="s">
        <v>11</v>
      </c>
      <c r="D83" s="135"/>
      <c r="E83" s="135"/>
      <c r="F83" s="135"/>
      <c r="G83" s="135" t="s">
        <v>11</v>
      </c>
      <c r="H83" s="135"/>
      <c r="I83" s="36"/>
    </row>
    <row r="84" spans="2:9" ht="30" customHeight="1" x14ac:dyDescent="0.2">
      <c r="B84" s="46"/>
      <c r="C84" s="145" t="s">
        <v>35</v>
      </c>
      <c r="D84" s="136"/>
      <c r="E84" s="136"/>
      <c r="F84" s="136"/>
      <c r="G84" s="145" t="s">
        <v>35</v>
      </c>
      <c r="H84" s="136"/>
      <c r="I84" s="58"/>
    </row>
    <row r="85" spans="2:9" ht="30" customHeight="1" x14ac:dyDescent="0.2">
      <c r="B85" s="60" t="s">
        <v>13</v>
      </c>
      <c r="C85" s="135"/>
      <c r="D85" s="135"/>
      <c r="E85" s="135" t="s">
        <v>13</v>
      </c>
      <c r="F85" s="135"/>
      <c r="G85" s="135"/>
      <c r="H85" s="135"/>
      <c r="I85" s="42" t="s">
        <v>13</v>
      </c>
    </row>
    <row r="86" spans="2:9" ht="30" customHeight="1" x14ac:dyDescent="0.2">
      <c r="B86" s="46" t="s">
        <v>35</v>
      </c>
      <c r="C86" s="136"/>
      <c r="D86" s="136"/>
      <c r="E86" s="145" t="s">
        <v>35</v>
      </c>
      <c r="F86" s="136"/>
      <c r="G86" s="136"/>
      <c r="H86" s="136"/>
      <c r="I86" s="46" t="s">
        <v>35</v>
      </c>
    </row>
    <row r="87" spans="2:9" ht="30" customHeight="1" x14ac:dyDescent="0.2">
      <c r="B87" s="60"/>
      <c r="C87" s="135"/>
      <c r="D87" s="135"/>
      <c r="E87" s="135"/>
      <c r="F87" s="135"/>
      <c r="G87" s="135"/>
      <c r="H87" s="135"/>
      <c r="I87" s="36"/>
    </row>
    <row r="88" spans="2:9" ht="30" customHeight="1" x14ac:dyDescent="0.2">
      <c r="B88" s="46"/>
      <c r="C88" s="136"/>
      <c r="D88" s="136"/>
      <c r="E88" s="136"/>
      <c r="F88" s="136"/>
      <c r="G88" s="136"/>
      <c r="H88" s="136"/>
      <c r="I88" s="53"/>
    </row>
    <row r="89" spans="2:9" ht="30" customHeight="1" x14ac:dyDescent="0.2">
      <c r="B89" s="60"/>
      <c r="C89" s="135"/>
      <c r="D89" s="135"/>
      <c r="E89" s="135"/>
      <c r="F89" s="135"/>
      <c r="G89" s="135"/>
      <c r="H89" s="135"/>
      <c r="I89" s="36"/>
    </row>
    <row r="90" spans="2:9" ht="30" customHeight="1" x14ac:dyDescent="0.2">
      <c r="B90" s="46"/>
      <c r="C90" s="136"/>
      <c r="D90" s="136"/>
      <c r="E90" s="136"/>
      <c r="F90" s="136"/>
      <c r="G90" s="136"/>
      <c r="H90" s="136"/>
      <c r="I90" s="58"/>
    </row>
    <row r="91" spans="2:9" ht="30" customHeight="1" x14ac:dyDescent="0.2">
      <c r="B91" s="60"/>
      <c r="C91" s="135"/>
      <c r="D91" s="135"/>
      <c r="E91" s="135"/>
      <c r="F91" s="135"/>
      <c r="G91" s="135"/>
      <c r="H91" s="135"/>
      <c r="I91" s="36"/>
    </row>
    <row r="92" spans="2:9" ht="30" customHeight="1" x14ac:dyDescent="0.2">
      <c r="B92" s="46"/>
      <c r="C92" s="136"/>
      <c r="D92" s="136"/>
      <c r="E92" s="136"/>
      <c r="F92" s="136"/>
      <c r="G92" s="136"/>
      <c r="H92" s="136"/>
      <c r="I92" s="58"/>
    </row>
    <row r="93" spans="2:9" ht="30" customHeight="1" x14ac:dyDescent="0.2">
      <c r="B93" s="60" t="s">
        <v>15</v>
      </c>
      <c r="C93" s="135"/>
      <c r="D93" s="135"/>
      <c r="E93" s="135" t="s">
        <v>15</v>
      </c>
      <c r="F93" s="135"/>
      <c r="G93" s="135"/>
      <c r="H93" s="135"/>
      <c r="I93" s="36" t="s">
        <v>15</v>
      </c>
    </row>
    <row r="94" spans="2:9" ht="30" customHeight="1" x14ac:dyDescent="0.2">
      <c r="B94" s="46" t="s">
        <v>35</v>
      </c>
      <c r="C94" s="136"/>
      <c r="D94" s="136"/>
      <c r="E94" s="145" t="s">
        <v>35</v>
      </c>
      <c r="F94" s="136"/>
      <c r="G94" s="136"/>
      <c r="H94" s="136"/>
      <c r="I94" s="46" t="s">
        <v>35</v>
      </c>
    </row>
    <row r="95" spans="2:9" ht="30" customHeight="1" x14ac:dyDescent="0.2">
      <c r="B95" s="60"/>
      <c r="C95" s="135"/>
      <c r="D95" s="135"/>
      <c r="E95" s="135"/>
      <c r="F95" s="135"/>
      <c r="G95" s="135"/>
      <c r="H95" s="135"/>
      <c r="I95" s="36"/>
    </row>
    <row r="96" spans="2:9" ht="30" customHeight="1" x14ac:dyDescent="0.2">
      <c r="B96" s="46"/>
      <c r="C96" s="136"/>
      <c r="D96" s="136"/>
      <c r="E96" s="136"/>
      <c r="F96" s="136"/>
      <c r="G96" s="136"/>
      <c r="H96" s="136"/>
      <c r="I96" s="58"/>
    </row>
    <row r="97" spans="2:9" ht="30" customHeight="1" x14ac:dyDescent="0.2">
      <c r="B97" s="60"/>
      <c r="C97" s="135" t="s">
        <v>17</v>
      </c>
      <c r="D97" s="135"/>
      <c r="E97" s="135"/>
      <c r="F97" s="135"/>
      <c r="G97" s="135" t="s">
        <v>17</v>
      </c>
      <c r="H97" s="135"/>
      <c r="I97" s="36"/>
    </row>
    <row r="98" spans="2:9" ht="30" customHeight="1" x14ac:dyDescent="0.2">
      <c r="B98" s="46"/>
      <c r="C98" s="145" t="s">
        <v>35</v>
      </c>
      <c r="D98" s="136"/>
      <c r="E98" s="136"/>
      <c r="F98" s="136"/>
      <c r="G98" s="145" t="s">
        <v>35</v>
      </c>
      <c r="H98" s="136"/>
      <c r="I98" s="58"/>
    </row>
    <row r="99" spans="2:9" ht="30" customHeight="1" x14ac:dyDescent="0.2">
      <c r="B99" s="60"/>
      <c r="C99" s="135"/>
      <c r="D99" s="135"/>
      <c r="E99" s="135"/>
      <c r="F99" s="135"/>
      <c r="G99" s="135"/>
      <c r="H99" s="135"/>
      <c r="I99" s="36"/>
    </row>
    <row r="100" spans="2:9" ht="30" customHeight="1" x14ac:dyDescent="0.2">
      <c r="B100" s="49"/>
      <c r="C100" s="137"/>
      <c r="D100" s="137"/>
      <c r="E100" s="137"/>
      <c r="F100" s="137"/>
      <c r="G100" s="137"/>
      <c r="H100" s="137"/>
      <c r="I100" s="59"/>
    </row>
  </sheetData>
  <mergeCells count="252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C40:D40"/>
    <mergeCell ref="E40:F40"/>
    <mergeCell ref="G40:H40"/>
    <mergeCell ref="C41:D41"/>
    <mergeCell ref="E41:F41"/>
    <mergeCell ref="G41:H41"/>
    <mergeCell ref="C38:D38"/>
    <mergeCell ref="E38:F38"/>
    <mergeCell ref="G38:H38"/>
    <mergeCell ref="C39:D39"/>
    <mergeCell ref="E39:F39"/>
    <mergeCell ref="G39:H39"/>
    <mergeCell ref="C44:D44"/>
    <mergeCell ref="E44:F44"/>
    <mergeCell ref="G44:H44"/>
    <mergeCell ref="C45:D45"/>
    <mergeCell ref="E45:F45"/>
    <mergeCell ref="G45:H45"/>
    <mergeCell ref="C42:D42"/>
    <mergeCell ref="E42:F42"/>
    <mergeCell ref="G42:H42"/>
    <mergeCell ref="C43:D43"/>
    <mergeCell ref="E43:F43"/>
    <mergeCell ref="G43:H43"/>
    <mergeCell ref="C48:D48"/>
    <mergeCell ref="E48:F48"/>
    <mergeCell ref="G48:H48"/>
    <mergeCell ref="C49:D49"/>
    <mergeCell ref="E49:F49"/>
    <mergeCell ref="G49:H49"/>
    <mergeCell ref="C46:D46"/>
    <mergeCell ref="E46:F46"/>
    <mergeCell ref="G46:H46"/>
    <mergeCell ref="C47:D47"/>
    <mergeCell ref="E47:F47"/>
    <mergeCell ref="G47:H47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58:D58"/>
    <mergeCell ref="E58:F58"/>
    <mergeCell ref="G58:H58"/>
    <mergeCell ref="C59:D59"/>
    <mergeCell ref="E59:F59"/>
    <mergeCell ref="G59:H59"/>
    <mergeCell ref="C54:D54"/>
    <mergeCell ref="E54:F54"/>
    <mergeCell ref="G54:H54"/>
    <mergeCell ref="C57:D57"/>
    <mergeCell ref="E57:F57"/>
    <mergeCell ref="G57:H57"/>
    <mergeCell ref="C62:D62"/>
    <mergeCell ref="E62:F62"/>
    <mergeCell ref="G62:H62"/>
    <mergeCell ref="C63:D63"/>
    <mergeCell ref="E63:F63"/>
    <mergeCell ref="G63:H63"/>
    <mergeCell ref="C60:D60"/>
    <mergeCell ref="E60:F60"/>
    <mergeCell ref="G60:H60"/>
    <mergeCell ref="C61:D61"/>
    <mergeCell ref="E61:F61"/>
    <mergeCell ref="G61:H61"/>
    <mergeCell ref="C66:D66"/>
    <mergeCell ref="E66:F66"/>
    <mergeCell ref="G66:H66"/>
    <mergeCell ref="C67:D67"/>
    <mergeCell ref="E67:F67"/>
    <mergeCell ref="G67:H67"/>
    <mergeCell ref="C64:D64"/>
    <mergeCell ref="E64:F64"/>
    <mergeCell ref="G64:H64"/>
    <mergeCell ref="C65:D65"/>
    <mergeCell ref="E65:F65"/>
    <mergeCell ref="G65:H65"/>
    <mergeCell ref="C70:D70"/>
    <mergeCell ref="E70:F70"/>
    <mergeCell ref="G70:H70"/>
    <mergeCell ref="C71:D71"/>
    <mergeCell ref="E71:F71"/>
    <mergeCell ref="G71:H71"/>
    <mergeCell ref="C68:D68"/>
    <mergeCell ref="E68:F68"/>
    <mergeCell ref="G68:H68"/>
    <mergeCell ref="C69:D69"/>
    <mergeCell ref="E69:F69"/>
    <mergeCell ref="G69:H69"/>
    <mergeCell ref="C74:D74"/>
    <mergeCell ref="E74:F74"/>
    <mergeCell ref="G74:H74"/>
    <mergeCell ref="C75:D75"/>
    <mergeCell ref="E75:F75"/>
    <mergeCell ref="G75:H75"/>
    <mergeCell ref="C72:D72"/>
    <mergeCell ref="E72:F72"/>
    <mergeCell ref="G72:H72"/>
    <mergeCell ref="C73:D73"/>
    <mergeCell ref="E73:F73"/>
    <mergeCell ref="G73:H73"/>
    <mergeCell ref="C80:D80"/>
    <mergeCell ref="E80:F80"/>
    <mergeCell ref="G80:H80"/>
    <mergeCell ref="C81:D81"/>
    <mergeCell ref="E81:F81"/>
    <mergeCell ref="G81:H81"/>
    <mergeCell ref="C76:D76"/>
    <mergeCell ref="E76:F76"/>
    <mergeCell ref="G76:H76"/>
    <mergeCell ref="C77:D77"/>
    <mergeCell ref="E77:F77"/>
    <mergeCell ref="G77:H77"/>
    <mergeCell ref="C84:D84"/>
    <mergeCell ref="E84:F84"/>
    <mergeCell ref="G84:H84"/>
    <mergeCell ref="C85:D85"/>
    <mergeCell ref="E85:F85"/>
    <mergeCell ref="G85:H85"/>
    <mergeCell ref="C82:D82"/>
    <mergeCell ref="E82:F82"/>
    <mergeCell ref="G82:H82"/>
    <mergeCell ref="C83:D83"/>
    <mergeCell ref="E83:F83"/>
    <mergeCell ref="G83:H83"/>
    <mergeCell ref="C88:D88"/>
    <mergeCell ref="E88:F88"/>
    <mergeCell ref="G88:H88"/>
    <mergeCell ref="C89:D89"/>
    <mergeCell ref="E89:F89"/>
    <mergeCell ref="G89:H89"/>
    <mergeCell ref="C86:D86"/>
    <mergeCell ref="E86:F86"/>
    <mergeCell ref="G86:H86"/>
    <mergeCell ref="C87:D87"/>
    <mergeCell ref="E87:F87"/>
    <mergeCell ref="G87:H87"/>
    <mergeCell ref="C92:D92"/>
    <mergeCell ref="E92:F92"/>
    <mergeCell ref="G92:H92"/>
    <mergeCell ref="C93:D93"/>
    <mergeCell ref="E93:F93"/>
    <mergeCell ref="G93:H93"/>
    <mergeCell ref="C90:D90"/>
    <mergeCell ref="E90:F90"/>
    <mergeCell ref="G90:H90"/>
    <mergeCell ref="C91:D91"/>
    <mergeCell ref="E91:F91"/>
    <mergeCell ref="G91:H91"/>
    <mergeCell ref="C96:D96"/>
    <mergeCell ref="E96:F96"/>
    <mergeCell ref="G96:H96"/>
    <mergeCell ref="C97:D97"/>
    <mergeCell ref="E97:F97"/>
    <mergeCell ref="G97:H97"/>
    <mergeCell ref="C94:D94"/>
    <mergeCell ref="E94:F94"/>
    <mergeCell ref="G94:H94"/>
    <mergeCell ref="C95:D95"/>
    <mergeCell ref="E95:F95"/>
    <mergeCell ref="G95:H95"/>
    <mergeCell ref="C100:D100"/>
    <mergeCell ref="E100:F100"/>
    <mergeCell ref="G100:H100"/>
    <mergeCell ref="C98:D98"/>
    <mergeCell ref="E98:F98"/>
    <mergeCell ref="G98:H98"/>
    <mergeCell ref="C99:D99"/>
    <mergeCell ref="E99:F99"/>
    <mergeCell ref="G99:H99"/>
  </mergeCells>
  <conditionalFormatting sqref="C3:H3">
    <cfRule type="expression" dxfId="67" priority="18" stopIfTrue="1">
      <formula>DAY(C3)&gt;8</formula>
    </cfRule>
  </conditionalFormatting>
  <conditionalFormatting sqref="C7:I8">
    <cfRule type="expression" dxfId="66" priority="17" stopIfTrue="1">
      <formula>AND(DAY(C7)&gt;=1,DAY(C7)&lt;=15)</formula>
    </cfRule>
  </conditionalFormatting>
  <conditionalFormatting sqref="C3:I8">
    <cfRule type="expression" dxfId="65" priority="19">
      <formula>VLOOKUP(DAY(C3),AssignmentDays,1,FALSE)=DAY(C3)</formula>
    </cfRule>
  </conditionalFormatting>
  <conditionalFormatting sqref="B14:I14 B16:I16 B18:I18 B22:I22 B24:I24 B26:I26 B28:I28 B30:I30 B12:I12 B20:I20">
    <cfRule type="expression" dxfId="64" priority="16">
      <formula>B12&lt;&gt;""</formula>
    </cfRule>
  </conditionalFormatting>
  <conditionalFormatting sqref="B13:I13 B15:I15 B17:I17 B19:I19 B21:I21 B23:I23 B25:I25 B27:I27 B29:I29 B31:I31">
    <cfRule type="expression" dxfId="63" priority="15">
      <formula>B13&lt;&gt;""</formula>
    </cfRule>
  </conditionalFormatting>
  <conditionalFormatting sqref="B13:I13 B15:I15 B17:I17 B19:I19 B21:I21 B23:I23 B25:I25 B27:I27 B29:I29">
    <cfRule type="expression" dxfId="62" priority="14">
      <formula>COLUMN(B13)&gt;=2</formula>
    </cfRule>
  </conditionalFormatting>
  <conditionalFormatting sqref="B12:I31">
    <cfRule type="expression" dxfId="61" priority="13">
      <formula>COLUMN(B12)&gt;2</formula>
    </cfRule>
  </conditionalFormatting>
  <conditionalFormatting sqref="B37:I37 B39:I39 B41:I41 B43:I43 B45:I45 B47:I47 B49:I49 B51:I51 B53:I53 B35:I35">
    <cfRule type="expression" dxfId="60" priority="12">
      <formula>B35&lt;&gt;""</formula>
    </cfRule>
  </conditionalFormatting>
  <conditionalFormatting sqref="B36:I36 B38:I38 B40:I40 B42:I42 B44:I44 B46:I46 B48:I48 B50:I50 B52:I52 B54:I54">
    <cfRule type="expression" dxfId="59" priority="11">
      <formula>B36&lt;&gt;""</formula>
    </cfRule>
  </conditionalFormatting>
  <conditionalFormatting sqref="B36:I36 B38:I38 B40:I40 B42:I42 B44:I44 B46:I46 B48:I48 B50:I50 B52:I52">
    <cfRule type="expression" dxfId="58" priority="10">
      <formula>COLUMN(B36)&gt;=2</formula>
    </cfRule>
  </conditionalFormatting>
  <conditionalFormatting sqref="B35:I54">
    <cfRule type="expression" dxfId="57" priority="9">
      <formula>COLUMN(B35)&gt;2</formula>
    </cfRule>
  </conditionalFormatting>
  <conditionalFormatting sqref="B60:I60 B62:I62 B64:I64 B66:I66 B68:I68 B70:I70 B72:I72 B74:I74 B76:I76 B58:I58">
    <cfRule type="expression" dxfId="56" priority="8">
      <formula>B58&lt;&gt;""</formula>
    </cfRule>
  </conditionalFormatting>
  <conditionalFormatting sqref="B59:I59 B61:I61 B63:I63 B65:I65 B67:I67 B69:I69 B71:I71 B73:I73 B75:I75 B77:I77">
    <cfRule type="expression" dxfId="55" priority="7">
      <formula>B59&lt;&gt;""</formula>
    </cfRule>
  </conditionalFormatting>
  <conditionalFormatting sqref="B59:I59 B61:I61 B63:I63 B65:I65 B67:I67 B69:I69 B71:I71 B73:I73 B75:I75">
    <cfRule type="expression" dxfId="54" priority="6">
      <formula>COLUMN(B59)&gt;=2</formula>
    </cfRule>
  </conditionalFormatting>
  <conditionalFormatting sqref="B58:I77">
    <cfRule type="expression" dxfId="53" priority="5">
      <formula>COLUMN(B58)&gt;2</formula>
    </cfRule>
  </conditionalFormatting>
  <conditionalFormatting sqref="B83:I83 B85:I85 B87:I87 B89:I89 B91:I91 B93:I93 B95:I95 B97:I97 B99:I99 B81:I81">
    <cfRule type="expression" dxfId="52" priority="4">
      <formula>B81&lt;&gt;""</formula>
    </cfRule>
  </conditionalFormatting>
  <conditionalFormatting sqref="B82:I82 B84:I84 B86:I86 B88:I88 B90:I90 B92:I92 B94:I94 B96:I96 B98:I98 B100:I100">
    <cfRule type="expression" dxfId="51" priority="3">
      <formula>B82&lt;&gt;""</formula>
    </cfRule>
  </conditionalFormatting>
  <conditionalFormatting sqref="B82:I82 B84:I84 B86:I86 B88:I88 B90:I90 B92:I92 B94:I94 B96:I96 B98:I98">
    <cfRule type="expression" dxfId="50" priority="2">
      <formula>COLUMN(B82)&gt;=2</formula>
    </cfRule>
  </conditionalFormatting>
  <conditionalFormatting sqref="B81:I100">
    <cfRule type="expression" dxfId="49" priority="1">
      <formula>COLUMN(B81)&gt;2</formula>
    </cfRule>
  </conditionalFormatting>
  <dataValidations xWindow="660" yWindow="352" count="13">
    <dataValidation allowBlank="1" showInputMessage="1" showErrorMessage="1" prompt="Enter class in this row from columns B to I" sqref="B13 B36 B59 B82"/>
    <dataValidation allowBlank="1" showInputMessage="1" showErrorMessage="1" prompt="Enter time in this row  from columns B to I" sqref="B12 I12 B35 I35 B58 I58 B81 I81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Jul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 B34 B57 B80"/>
    <dataValidation allowBlank="1" showInputMessage="1" showErrorMessage="1" prompt="Enter the time of your class and under it, in a new row, the class name for each weekday in columns B to I. Repeat this pattern for all classes in subsequent rows" sqref="B10 B56 B33 B79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100"/>
  <sheetViews>
    <sheetView showGridLines="0" topLeftCell="F1" zoomScale="70" zoomScaleNormal="70" zoomScalePageLayoutView="84" workbookViewId="0">
      <selection activeCell="K5" sqref="K5"/>
    </sheetView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25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4"/>
      <c r="L2" s="7"/>
    </row>
    <row r="3" spans="1:12" ht="30" customHeight="1" x14ac:dyDescent="0.25">
      <c r="A3" s="21"/>
      <c r="C3" s="13">
        <f ca="1">IF(DAY(AugSun1)=1,AugSun1-6,AugSun1+1)</f>
        <v>42947</v>
      </c>
      <c r="D3" s="13">
        <f ca="1">IF(DAY(AugSun1)=1,AugSun1-5,AugSun1+2)</f>
        <v>42948</v>
      </c>
      <c r="E3" s="13">
        <f ca="1">IF(DAY(AugSun1)=1,AugSun1-4,AugSun1+3)</f>
        <v>42949</v>
      </c>
      <c r="F3" s="13">
        <f ca="1">IF(DAY(AugSun1)=1,AugSun1-3,AugSun1+4)</f>
        <v>42950</v>
      </c>
      <c r="G3" s="13">
        <f ca="1">IF(DAY(AugSun1)=1,AugSun1-2,AugSun1+5)</f>
        <v>42951</v>
      </c>
      <c r="H3" s="13">
        <f ca="1">IF(DAY(AugSun1)=1,AugSun1-1,AugSun1+6)</f>
        <v>42952</v>
      </c>
      <c r="I3" s="13">
        <f ca="1">IF(DAY(AugSun1)=1,AugSun1,AugSun1+7)</f>
        <v>42953</v>
      </c>
      <c r="J3" s="18"/>
      <c r="K3" s="5"/>
      <c r="L3" s="10"/>
    </row>
    <row r="4" spans="1:12" ht="30" customHeight="1" x14ac:dyDescent="0.25">
      <c r="A4" s="21"/>
      <c r="C4" s="13">
        <f ca="1">IF(DAY(AugSun1)=1,AugSun1+1,AugSun1+8)</f>
        <v>42954</v>
      </c>
      <c r="D4" s="13">
        <f ca="1">IF(DAY(AugSun1)=1,AugSun1+2,AugSun1+9)</f>
        <v>42955</v>
      </c>
      <c r="E4" s="13">
        <f ca="1">IF(DAY(AugSun1)=1,AugSun1+3,AugSun1+10)</f>
        <v>42956</v>
      </c>
      <c r="F4" s="13">
        <f ca="1">IF(DAY(AugSun1)=1,AugSun1+4,AugSun1+11)</f>
        <v>42957</v>
      </c>
      <c r="G4" s="13">
        <f ca="1">IF(DAY(AugSun1)=1,AugSun1+5,AugSun1+12)</f>
        <v>42958</v>
      </c>
      <c r="H4" s="13">
        <f ca="1">IF(DAY(AugSun1)=1,AugSun1+6,AugSun1+13)</f>
        <v>42959</v>
      </c>
      <c r="I4" s="13">
        <f ca="1">IF(DAY(AugSun1)=1,AugSun1+7,AugSun1+14)</f>
        <v>42960</v>
      </c>
      <c r="J4" s="18"/>
      <c r="K4" s="5"/>
      <c r="L4" s="10"/>
    </row>
    <row r="5" spans="1:12" ht="30" customHeight="1" x14ac:dyDescent="0.25">
      <c r="A5" s="21"/>
      <c r="C5" s="13">
        <f ca="1">IF(DAY(AugSun1)=1,AugSun1+8,AugSun1+15)</f>
        <v>42961</v>
      </c>
      <c r="D5" s="13">
        <f ca="1">IF(DAY(AugSun1)=1,AugSun1+9,AugSun1+16)</f>
        <v>42962</v>
      </c>
      <c r="E5" s="13">
        <f ca="1">IF(DAY(AugSun1)=1,AugSun1+10,AugSun1+17)</f>
        <v>42963</v>
      </c>
      <c r="F5" s="13">
        <f ca="1">IF(DAY(AugSun1)=1,AugSun1+11,AugSun1+18)</f>
        <v>42964</v>
      </c>
      <c r="G5" s="13">
        <f ca="1">IF(DAY(AugSun1)=1,AugSun1+12,AugSun1+19)</f>
        <v>42965</v>
      </c>
      <c r="H5" s="13">
        <f ca="1">IF(DAY(AugSun1)=1,AugSun1+13,AugSun1+20)</f>
        <v>42966</v>
      </c>
      <c r="I5" s="13">
        <f ca="1">IF(DAY(AugSun1)=1,AugSun1+14,AugSun1+21)</f>
        <v>42967</v>
      </c>
      <c r="J5" s="18"/>
      <c r="K5" s="5"/>
      <c r="L5" s="10"/>
    </row>
    <row r="6" spans="1:12" ht="30" customHeight="1" x14ac:dyDescent="0.25">
      <c r="A6" s="21"/>
      <c r="C6" s="13">
        <f ca="1">IF(DAY(AugSun1)=1,AugSun1+15,AugSun1+22)</f>
        <v>42968</v>
      </c>
      <c r="D6" s="13">
        <f ca="1">IF(DAY(AugSun1)=1,AugSun1+16,AugSun1+23)</f>
        <v>42969</v>
      </c>
      <c r="E6" s="13">
        <f ca="1">IF(DAY(AugSun1)=1,AugSun1+17,AugSun1+24)</f>
        <v>42970</v>
      </c>
      <c r="F6" s="13">
        <f ca="1">IF(DAY(AugSun1)=1,AugSun1+18,AugSun1+25)</f>
        <v>42971</v>
      </c>
      <c r="G6" s="13">
        <f ca="1">IF(DAY(AugSun1)=1,AugSun1+19,AugSun1+26)</f>
        <v>42972</v>
      </c>
      <c r="H6" s="13">
        <f ca="1">IF(DAY(AugSun1)=1,AugSun1+20,AugSun1+27)</f>
        <v>42973</v>
      </c>
      <c r="I6" s="13">
        <f ca="1">IF(DAY(AugSun1)=1,AugSun1+21,AugSun1+28)</f>
        <v>42974</v>
      </c>
      <c r="J6" s="18"/>
      <c r="K6" s="5"/>
      <c r="L6" s="10"/>
    </row>
    <row r="7" spans="1:12" ht="30" customHeight="1" x14ac:dyDescent="0.25">
      <c r="A7" s="21"/>
      <c r="C7" s="13">
        <f ca="1">IF(DAY(AugSun1)=1,AugSun1+22,AugSun1+29)</f>
        <v>42975</v>
      </c>
      <c r="D7" s="13">
        <f ca="1">IF(DAY(AugSun1)=1,AugSun1+23,AugSun1+30)</f>
        <v>42976</v>
      </c>
      <c r="E7" s="13">
        <f ca="1">IF(DAY(AugSun1)=1,AugSun1+24,AugSun1+31)</f>
        <v>42977</v>
      </c>
      <c r="F7" s="13">
        <f ca="1">IF(DAY(AugSun1)=1,AugSun1+25,AugSun1+32)</f>
        <v>42978</v>
      </c>
      <c r="G7" s="13">
        <f ca="1">IF(DAY(AugSun1)=1,AugSun1+26,AugSun1+33)</f>
        <v>42979</v>
      </c>
      <c r="H7" s="13">
        <f ca="1">IF(DAY(AugSun1)=1,AugSun1+27,AugSun1+34)</f>
        <v>42980</v>
      </c>
      <c r="I7" s="13">
        <f ca="1">IF(DAY(AugSun1)=1,AugSun1+28,AugSun1+35)</f>
        <v>42981</v>
      </c>
      <c r="J7" s="33"/>
      <c r="K7" s="38"/>
      <c r="L7" s="30"/>
    </row>
    <row r="8" spans="1:12" ht="30" customHeight="1" x14ac:dyDescent="0.25">
      <c r="A8" s="21"/>
      <c r="B8" s="29"/>
      <c r="C8" s="13">
        <f ca="1">IF(DAY(AugSun1)=1,AugSun1+29,AugSun1+36)</f>
        <v>42982</v>
      </c>
      <c r="D8" s="13">
        <f ca="1">IF(DAY(AugSun1)=1,AugSun1+30,AugSun1+37)</f>
        <v>42983</v>
      </c>
      <c r="E8" s="13">
        <f ca="1">IF(DAY(AugSun1)=1,AugSun1+31,AugSun1+38)</f>
        <v>42984</v>
      </c>
      <c r="F8" s="13">
        <f ca="1">IF(DAY(AugSun1)=1,AugSun1+32,AugSun1+39)</f>
        <v>42985</v>
      </c>
      <c r="G8" s="13">
        <f ca="1">IF(DAY(AugSun1)=1,AugSun1+33,AugSun1+40)</f>
        <v>42986</v>
      </c>
      <c r="H8" s="13">
        <f ca="1">IF(DAY(AugSun1)=1,AugSun1+34,AugSun1+41)</f>
        <v>42987</v>
      </c>
      <c r="I8" s="13">
        <f ca="1">IF(DAY(AugSun1)=1,AugSun1+35,AugSun1+42)</f>
        <v>42988</v>
      </c>
      <c r="J8" s="18" t="s">
        <v>30</v>
      </c>
      <c r="K8" s="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5"/>
      <c r="L9" s="10"/>
    </row>
    <row r="10" spans="1:12" ht="30" customHeight="1" x14ac:dyDescent="0.25">
      <c r="A10" s="21"/>
      <c r="B10" s="26" t="s">
        <v>62</v>
      </c>
      <c r="C10" s="17"/>
      <c r="D10" s="17"/>
      <c r="E10" s="17"/>
      <c r="F10" s="17"/>
      <c r="G10" s="17"/>
      <c r="H10" s="17"/>
      <c r="I10" s="17"/>
      <c r="J10" s="18"/>
      <c r="K10" s="5"/>
      <c r="L10" s="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5"/>
      <c r="L11" s="10"/>
    </row>
    <row r="12" spans="1:12" ht="30" customHeight="1" x14ac:dyDescent="0.25">
      <c r="A12" s="45" t="s">
        <v>38</v>
      </c>
      <c r="B12" s="60">
        <v>0.35416666666666669</v>
      </c>
      <c r="C12" s="135"/>
      <c r="D12" s="135"/>
      <c r="E12" s="135">
        <v>0.35416666666666669</v>
      </c>
      <c r="F12" s="135"/>
      <c r="G12" s="135"/>
      <c r="H12" s="135"/>
      <c r="I12" s="60">
        <v>0.35416666666666669</v>
      </c>
      <c r="J12" s="18"/>
      <c r="K12" s="5"/>
      <c r="L12" s="10"/>
    </row>
    <row r="13" spans="1:12" ht="30" customHeight="1" x14ac:dyDescent="0.25">
      <c r="A13" s="45" t="s">
        <v>39</v>
      </c>
      <c r="B13" s="74" t="s">
        <v>35</v>
      </c>
      <c r="C13" s="136"/>
      <c r="D13" s="136"/>
      <c r="E13" s="145" t="s">
        <v>35</v>
      </c>
      <c r="F13" s="136"/>
      <c r="G13" s="136"/>
      <c r="H13" s="136"/>
      <c r="I13" s="46" t="s">
        <v>35</v>
      </c>
      <c r="J13" s="33"/>
      <c r="K13" s="38"/>
      <c r="L13" s="30"/>
    </row>
    <row r="14" spans="1:12" ht="30" customHeight="1" x14ac:dyDescent="0.25">
      <c r="A14" s="45" t="s">
        <v>38</v>
      </c>
      <c r="B14" s="60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 t="s">
        <v>6</v>
      </c>
      <c r="K14" s="4"/>
      <c r="L14" s="10"/>
    </row>
    <row r="15" spans="1:12" ht="30" customHeight="1" x14ac:dyDescent="0.25">
      <c r="A15" s="45" t="s">
        <v>39</v>
      </c>
      <c r="B15" s="46"/>
      <c r="C15" s="145" t="s">
        <v>35</v>
      </c>
      <c r="D15" s="136"/>
      <c r="E15" s="136"/>
      <c r="F15" s="136"/>
      <c r="G15" s="145" t="s">
        <v>35</v>
      </c>
      <c r="H15" s="136"/>
      <c r="I15" s="58"/>
      <c r="J15" s="18"/>
      <c r="K15" s="5"/>
      <c r="L15" s="10"/>
    </row>
    <row r="16" spans="1:12" ht="30" customHeight="1" x14ac:dyDescent="0.25">
      <c r="A16" s="45" t="s">
        <v>38</v>
      </c>
      <c r="B16" s="60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/>
      <c r="K16" s="5"/>
      <c r="L16" s="10"/>
    </row>
    <row r="17" spans="1:12" ht="30" customHeight="1" x14ac:dyDescent="0.25">
      <c r="A17" s="45" t="s">
        <v>39</v>
      </c>
      <c r="B17" s="74" t="s">
        <v>35</v>
      </c>
      <c r="C17" s="136"/>
      <c r="D17" s="136"/>
      <c r="E17" s="145" t="s">
        <v>35</v>
      </c>
      <c r="F17" s="136"/>
      <c r="G17" s="136"/>
      <c r="H17" s="136"/>
      <c r="I17" s="46" t="s">
        <v>35</v>
      </c>
      <c r="J17" s="18"/>
      <c r="K17" s="5"/>
      <c r="L17" s="10"/>
    </row>
    <row r="18" spans="1:12" ht="30" customHeight="1" x14ac:dyDescent="0.25">
      <c r="A18" s="45" t="s">
        <v>38</v>
      </c>
      <c r="B18" s="60"/>
      <c r="C18" s="135"/>
      <c r="D18" s="135"/>
      <c r="E18" s="135"/>
      <c r="F18" s="135"/>
      <c r="G18" s="135"/>
      <c r="H18" s="135"/>
      <c r="I18" s="36"/>
      <c r="J18" s="18"/>
      <c r="K18" s="5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33"/>
      <c r="K19" s="38"/>
      <c r="L19" s="39"/>
    </row>
    <row r="20" spans="1:12" ht="30" customHeight="1" x14ac:dyDescent="0.25">
      <c r="A20" s="45" t="s">
        <v>38</v>
      </c>
      <c r="B20" s="60"/>
      <c r="C20" s="135"/>
      <c r="D20" s="135"/>
      <c r="E20" s="135"/>
      <c r="F20" s="135"/>
      <c r="G20" s="135"/>
      <c r="H20" s="135"/>
      <c r="I20" s="60"/>
      <c r="J20" s="18" t="s">
        <v>31</v>
      </c>
      <c r="K20" s="4"/>
      <c r="L20" s="10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8"/>
      <c r="J21" s="18"/>
      <c r="K21" s="5"/>
      <c r="L21" s="10"/>
    </row>
    <row r="22" spans="1:12" ht="30" customHeight="1" x14ac:dyDescent="0.25">
      <c r="A22" s="45" t="s">
        <v>38</v>
      </c>
      <c r="B22" s="60"/>
      <c r="C22" s="135"/>
      <c r="D22" s="135"/>
      <c r="E22" s="135"/>
      <c r="F22" s="135"/>
      <c r="G22" s="135"/>
      <c r="H22" s="135"/>
      <c r="I22" s="36"/>
      <c r="J22" s="18"/>
      <c r="K22" s="5"/>
      <c r="L22" s="10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8"/>
      <c r="J23" s="18"/>
      <c r="K23" s="5"/>
      <c r="L23" s="10"/>
    </row>
    <row r="24" spans="1:12" ht="30" customHeight="1" x14ac:dyDescent="0.25">
      <c r="A24" s="45" t="s">
        <v>38</v>
      </c>
      <c r="B24" s="60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/>
      <c r="K24" s="5"/>
      <c r="L24" s="10"/>
    </row>
    <row r="25" spans="1:12" ht="30" customHeight="1" x14ac:dyDescent="0.25">
      <c r="A25" s="45" t="s">
        <v>39</v>
      </c>
      <c r="B25" s="46" t="s">
        <v>35</v>
      </c>
      <c r="C25" s="136"/>
      <c r="D25" s="136"/>
      <c r="E25" s="145" t="s">
        <v>35</v>
      </c>
      <c r="F25" s="136"/>
      <c r="G25" s="136"/>
      <c r="H25" s="136"/>
      <c r="I25" s="46" t="s">
        <v>35</v>
      </c>
      <c r="J25" s="33"/>
      <c r="K25" s="38"/>
      <c r="L25" s="39"/>
    </row>
    <row r="26" spans="1:12" ht="30" customHeight="1" x14ac:dyDescent="0.25">
      <c r="A26" s="45" t="s">
        <v>38</v>
      </c>
      <c r="B26" s="60"/>
      <c r="C26" s="135"/>
      <c r="D26" s="135"/>
      <c r="E26" s="135"/>
      <c r="F26" s="135"/>
      <c r="G26" s="135"/>
      <c r="H26" s="135"/>
      <c r="I26" s="36"/>
      <c r="J26" s="18" t="s">
        <v>8</v>
      </c>
      <c r="K26" s="4"/>
      <c r="L26" s="10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8"/>
      <c r="J27" s="18"/>
      <c r="K27" s="5"/>
      <c r="L27" s="10"/>
    </row>
    <row r="28" spans="1:12" ht="30" customHeight="1" x14ac:dyDescent="0.25">
      <c r="A28" s="45" t="s">
        <v>38</v>
      </c>
      <c r="B28" s="60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/>
      <c r="K28" s="5"/>
      <c r="L28" s="10"/>
    </row>
    <row r="29" spans="1:12" ht="30" customHeight="1" x14ac:dyDescent="0.25">
      <c r="A29" s="45" t="s">
        <v>39</v>
      </c>
      <c r="B29" s="46"/>
      <c r="C29" s="145" t="s">
        <v>35</v>
      </c>
      <c r="D29" s="136"/>
      <c r="E29" s="136"/>
      <c r="F29" s="136"/>
      <c r="G29" s="136" t="s">
        <v>18</v>
      </c>
      <c r="H29" s="136"/>
      <c r="I29" s="58"/>
      <c r="J29" s="18"/>
      <c r="K29" s="5"/>
      <c r="L29" s="10"/>
    </row>
    <row r="30" spans="1:12" ht="30" customHeight="1" x14ac:dyDescent="0.25">
      <c r="A30" s="45" t="s">
        <v>38</v>
      </c>
      <c r="B30" s="60"/>
      <c r="C30" s="135"/>
      <c r="D30" s="135"/>
      <c r="E30" s="135"/>
      <c r="F30" s="135"/>
      <c r="G30" s="135"/>
      <c r="H30" s="135"/>
      <c r="I30" s="36"/>
      <c r="J30" s="18"/>
      <c r="K30" s="5"/>
      <c r="L30" s="10"/>
    </row>
    <row r="31" spans="1:12" ht="30" customHeight="1" x14ac:dyDescent="0.25">
      <c r="A31" s="45" t="s">
        <v>39</v>
      </c>
      <c r="B31" s="71"/>
      <c r="C31" s="148"/>
      <c r="D31" s="148"/>
      <c r="E31" s="148"/>
      <c r="F31" s="148"/>
      <c r="G31" s="148"/>
      <c r="H31" s="148"/>
      <c r="I31" s="72"/>
      <c r="J31" s="18"/>
      <c r="K31" s="6"/>
      <c r="L31" s="22"/>
    </row>
    <row r="32" spans="1:12" s="27" customFormat="1" ht="30" customHeight="1" x14ac:dyDescent="0.25">
      <c r="A32" s="75"/>
      <c r="B32" s="78"/>
      <c r="C32" s="79"/>
      <c r="D32" s="79"/>
      <c r="E32" s="79"/>
      <c r="F32" s="79"/>
      <c r="G32" s="79"/>
      <c r="H32" s="79"/>
      <c r="I32" s="80"/>
      <c r="J32" s="18"/>
      <c r="K32" s="76"/>
      <c r="L32" s="22"/>
    </row>
    <row r="33" spans="2:11" ht="30" customHeight="1" x14ac:dyDescent="0.2">
      <c r="B33" s="81" t="s">
        <v>63</v>
      </c>
      <c r="C33" s="17"/>
      <c r="D33" s="17"/>
      <c r="E33" s="17"/>
      <c r="F33" s="17"/>
      <c r="G33" s="17"/>
      <c r="H33" s="17"/>
      <c r="I33" s="82"/>
      <c r="K33" s="77"/>
    </row>
    <row r="34" spans="2:11" ht="30" customHeight="1" x14ac:dyDescent="0.2">
      <c r="B34" s="83" t="s">
        <v>2</v>
      </c>
      <c r="C34" s="133" t="s">
        <v>4</v>
      </c>
      <c r="D34" s="134"/>
      <c r="E34" s="133" t="s">
        <v>6</v>
      </c>
      <c r="F34" s="134"/>
      <c r="G34" s="133" t="s">
        <v>7</v>
      </c>
      <c r="H34" s="134"/>
      <c r="I34" s="84" t="s">
        <v>8</v>
      </c>
    </row>
    <row r="35" spans="2:11" ht="30" customHeight="1" x14ac:dyDescent="0.2">
      <c r="B35" s="85">
        <v>0.35416666666666669</v>
      </c>
      <c r="C35" s="149"/>
      <c r="D35" s="150"/>
      <c r="E35" s="149">
        <v>0.35416666666666669</v>
      </c>
      <c r="F35" s="150"/>
      <c r="G35" s="149"/>
      <c r="H35" s="150"/>
      <c r="I35" s="86">
        <v>0.35416666666666669</v>
      </c>
    </row>
    <row r="36" spans="2:11" ht="30" customHeight="1" x14ac:dyDescent="0.2">
      <c r="B36" s="87" t="s">
        <v>35</v>
      </c>
      <c r="C36" s="148"/>
      <c r="D36" s="148"/>
      <c r="E36" s="147" t="s">
        <v>35</v>
      </c>
      <c r="F36" s="147"/>
      <c r="G36" s="148"/>
      <c r="H36" s="148"/>
      <c r="I36" s="88" t="s">
        <v>35</v>
      </c>
    </row>
    <row r="37" spans="2:11" ht="30" customHeight="1" x14ac:dyDescent="0.2">
      <c r="B37" s="85"/>
      <c r="C37" s="149" t="s">
        <v>11</v>
      </c>
      <c r="D37" s="150"/>
      <c r="E37" s="149"/>
      <c r="F37" s="150"/>
      <c r="G37" s="149" t="s">
        <v>11</v>
      </c>
      <c r="H37" s="150"/>
      <c r="I37" s="89"/>
    </row>
    <row r="38" spans="2:11" ht="30" customHeight="1" x14ac:dyDescent="0.2">
      <c r="B38" s="87"/>
      <c r="C38" s="147" t="s">
        <v>35</v>
      </c>
      <c r="D38" s="147"/>
      <c r="E38" s="148"/>
      <c r="F38" s="148"/>
      <c r="G38" s="147" t="s">
        <v>35</v>
      </c>
      <c r="H38" s="147"/>
      <c r="I38" s="90"/>
    </row>
    <row r="39" spans="2:11" ht="30" customHeight="1" x14ac:dyDescent="0.2">
      <c r="B39" s="85" t="s">
        <v>13</v>
      </c>
      <c r="C39" s="149"/>
      <c r="D39" s="150"/>
      <c r="E39" s="149" t="s">
        <v>13</v>
      </c>
      <c r="F39" s="150"/>
      <c r="G39" s="149"/>
      <c r="H39" s="150"/>
      <c r="I39" s="91" t="s">
        <v>13</v>
      </c>
    </row>
    <row r="40" spans="2:11" ht="30" customHeight="1" x14ac:dyDescent="0.2">
      <c r="B40" s="87" t="s">
        <v>35</v>
      </c>
      <c r="C40" s="148"/>
      <c r="D40" s="148"/>
      <c r="E40" s="147" t="s">
        <v>35</v>
      </c>
      <c r="F40" s="147"/>
      <c r="G40" s="148"/>
      <c r="H40" s="148"/>
      <c r="I40" s="88" t="s">
        <v>35</v>
      </c>
    </row>
    <row r="41" spans="2:11" ht="30" customHeight="1" x14ac:dyDescent="0.2">
      <c r="B41" s="85"/>
      <c r="C41" s="149"/>
      <c r="D41" s="150"/>
      <c r="E41" s="149"/>
      <c r="F41" s="150"/>
      <c r="G41" s="149"/>
      <c r="H41" s="150"/>
      <c r="I41" s="89"/>
    </row>
    <row r="42" spans="2:11" ht="30" customHeight="1" x14ac:dyDescent="0.2">
      <c r="B42" s="87"/>
      <c r="C42" s="148"/>
      <c r="D42" s="148"/>
      <c r="E42" s="148"/>
      <c r="F42" s="148"/>
      <c r="G42" s="148"/>
      <c r="H42" s="148"/>
      <c r="I42" s="92"/>
    </row>
    <row r="43" spans="2:11" ht="30" customHeight="1" x14ac:dyDescent="0.2">
      <c r="B43" s="85"/>
      <c r="C43" s="149"/>
      <c r="D43" s="150"/>
      <c r="E43" s="149"/>
      <c r="F43" s="150"/>
      <c r="G43" s="149"/>
      <c r="H43" s="150"/>
      <c r="I43" s="89"/>
    </row>
    <row r="44" spans="2:11" ht="30" customHeight="1" x14ac:dyDescent="0.2">
      <c r="B44" s="87"/>
      <c r="C44" s="148"/>
      <c r="D44" s="148"/>
      <c r="E44" s="148"/>
      <c r="F44" s="148"/>
      <c r="G44" s="148"/>
      <c r="H44" s="148"/>
      <c r="I44" s="90"/>
    </row>
    <row r="45" spans="2:11" ht="30" customHeight="1" x14ac:dyDescent="0.2">
      <c r="B45" s="85"/>
      <c r="C45" s="149"/>
      <c r="D45" s="150"/>
      <c r="E45" s="149"/>
      <c r="F45" s="150"/>
      <c r="G45" s="149"/>
      <c r="H45" s="150"/>
      <c r="I45" s="89"/>
    </row>
    <row r="46" spans="2:11" ht="30" customHeight="1" x14ac:dyDescent="0.2">
      <c r="B46" s="87"/>
      <c r="C46" s="148"/>
      <c r="D46" s="148"/>
      <c r="E46" s="148"/>
      <c r="F46" s="148"/>
      <c r="G46" s="148"/>
      <c r="H46" s="148"/>
      <c r="I46" s="90"/>
    </row>
    <row r="47" spans="2:11" ht="30" customHeight="1" x14ac:dyDescent="0.2">
      <c r="B47" s="85" t="s">
        <v>15</v>
      </c>
      <c r="C47" s="149"/>
      <c r="D47" s="150"/>
      <c r="E47" s="149" t="s">
        <v>15</v>
      </c>
      <c r="F47" s="150"/>
      <c r="G47" s="149"/>
      <c r="H47" s="150"/>
      <c r="I47" s="89" t="s">
        <v>15</v>
      </c>
    </row>
    <row r="48" spans="2:11" ht="30" customHeight="1" x14ac:dyDescent="0.2">
      <c r="B48" s="87" t="s">
        <v>35</v>
      </c>
      <c r="C48" s="148"/>
      <c r="D48" s="148"/>
      <c r="E48" s="147" t="s">
        <v>35</v>
      </c>
      <c r="F48" s="147"/>
      <c r="G48" s="148"/>
      <c r="H48" s="148"/>
      <c r="I48" s="88" t="s">
        <v>35</v>
      </c>
    </row>
    <row r="49" spans="1:12" ht="30" customHeight="1" x14ac:dyDescent="0.2">
      <c r="B49" s="85"/>
      <c r="C49" s="149"/>
      <c r="D49" s="150"/>
      <c r="E49" s="149"/>
      <c r="F49" s="150"/>
      <c r="G49" s="149"/>
      <c r="H49" s="150"/>
      <c r="I49" s="89"/>
    </row>
    <row r="50" spans="1:12" ht="30" customHeight="1" x14ac:dyDescent="0.2">
      <c r="B50" s="87"/>
      <c r="C50" s="148"/>
      <c r="D50" s="148"/>
      <c r="E50" s="148"/>
      <c r="F50" s="148"/>
      <c r="G50" s="148"/>
      <c r="H50" s="148"/>
      <c r="I50" s="90"/>
    </row>
    <row r="51" spans="1:12" ht="30" customHeight="1" x14ac:dyDescent="0.2">
      <c r="B51" s="85"/>
      <c r="C51" s="149" t="s">
        <v>17</v>
      </c>
      <c r="D51" s="150"/>
      <c r="E51" s="149"/>
      <c r="F51" s="150"/>
      <c r="G51" s="149" t="s">
        <v>17</v>
      </c>
      <c r="H51" s="150"/>
      <c r="I51" s="89"/>
    </row>
    <row r="52" spans="1:12" ht="30" customHeight="1" x14ac:dyDescent="0.2">
      <c r="B52" s="87"/>
      <c r="C52" s="148" t="s">
        <v>18</v>
      </c>
      <c r="D52" s="148"/>
      <c r="E52" s="148"/>
      <c r="F52" s="148"/>
      <c r="G52" s="147" t="s">
        <v>35</v>
      </c>
      <c r="H52" s="147"/>
      <c r="I52" s="90"/>
    </row>
    <row r="53" spans="1:12" ht="30" customHeight="1" x14ac:dyDescent="0.2">
      <c r="B53" s="85"/>
      <c r="C53" s="149"/>
      <c r="D53" s="150"/>
      <c r="E53" s="149"/>
      <c r="F53" s="150"/>
      <c r="G53" s="149"/>
      <c r="H53" s="150"/>
      <c r="I53" s="89"/>
    </row>
    <row r="54" spans="1:12" ht="30" customHeight="1" x14ac:dyDescent="0.2">
      <c r="B54" s="93"/>
      <c r="C54" s="146"/>
      <c r="D54" s="146"/>
      <c r="E54" s="146"/>
      <c r="F54" s="146"/>
      <c r="G54" s="146"/>
      <c r="H54" s="146"/>
      <c r="I54" s="94"/>
    </row>
    <row r="55" spans="1:12" s="27" customFormat="1" ht="30" customHeight="1" x14ac:dyDescent="0.2">
      <c r="A55" s="2"/>
      <c r="B55" s="78"/>
      <c r="C55" s="79"/>
      <c r="D55" s="79"/>
      <c r="E55" s="79"/>
      <c r="F55" s="79"/>
      <c r="G55" s="79"/>
      <c r="H55" s="79"/>
      <c r="I55" s="80"/>
      <c r="L55" s="2"/>
    </row>
    <row r="56" spans="1:12" ht="30" customHeight="1" x14ac:dyDescent="0.2">
      <c r="B56" s="81" t="s">
        <v>64</v>
      </c>
      <c r="C56" s="17"/>
      <c r="D56" s="17"/>
      <c r="E56" s="17"/>
      <c r="F56" s="17"/>
      <c r="G56" s="17"/>
      <c r="H56" s="17"/>
      <c r="I56" s="82"/>
    </row>
    <row r="57" spans="1:12" ht="30" customHeight="1" x14ac:dyDescent="0.2">
      <c r="B57" s="83" t="s">
        <v>2</v>
      </c>
      <c r="C57" s="133" t="s">
        <v>4</v>
      </c>
      <c r="D57" s="134"/>
      <c r="E57" s="133" t="s">
        <v>6</v>
      </c>
      <c r="F57" s="134"/>
      <c r="G57" s="133" t="s">
        <v>7</v>
      </c>
      <c r="H57" s="134"/>
      <c r="I57" s="84" t="s">
        <v>8</v>
      </c>
    </row>
    <row r="58" spans="1:12" ht="30" customHeight="1" x14ac:dyDescent="0.2">
      <c r="B58" s="85">
        <v>0.35416666666666669</v>
      </c>
      <c r="C58" s="135"/>
      <c r="D58" s="135"/>
      <c r="E58" s="135">
        <v>0.35416666666666669</v>
      </c>
      <c r="F58" s="135"/>
      <c r="G58" s="135"/>
      <c r="H58" s="135"/>
      <c r="I58" s="86">
        <v>0.35416666666666669</v>
      </c>
    </row>
    <row r="59" spans="1:12" ht="30" customHeight="1" x14ac:dyDescent="0.2">
      <c r="B59" s="87" t="s">
        <v>35</v>
      </c>
      <c r="C59" s="148"/>
      <c r="D59" s="148"/>
      <c r="E59" s="147" t="s">
        <v>35</v>
      </c>
      <c r="F59" s="148"/>
      <c r="G59" s="148"/>
      <c r="H59" s="148"/>
      <c r="I59" s="88" t="s">
        <v>35</v>
      </c>
    </row>
    <row r="60" spans="1:12" ht="30" customHeight="1" x14ac:dyDescent="0.2">
      <c r="B60" s="85"/>
      <c r="C60" s="135" t="s">
        <v>11</v>
      </c>
      <c r="D60" s="135"/>
      <c r="E60" s="135"/>
      <c r="F60" s="135"/>
      <c r="G60" s="135" t="s">
        <v>11</v>
      </c>
      <c r="H60" s="135"/>
      <c r="I60" s="89"/>
    </row>
    <row r="61" spans="1:12" ht="30" customHeight="1" x14ac:dyDescent="0.2">
      <c r="B61" s="87"/>
      <c r="C61" s="147" t="s">
        <v>35</v>
      </c>
      <c r="D61" s="148"/>
      <c r="E61" s="148"/>
      <c r="F61" s="148"/>
      <c r="G61" s="147" t="s">
        <v>35</v>
      </c>
      <c r="H61" s="148"/>
      <c r="I61" s="90"/>
    </row>
    <row r="62" spans="1:12" ht="30" customHeight="1" x14ac:dyDescent="0.2">
      <c r="B62" s="85">
        <v>0.41666666666666669</v>
      </c>
      <c r="C62" s="135"/>
      <c r="D62" s="135"/>
      <c r="E62" s="135" t="s">
        <v>13</v>
      </c>
      <c r="F62" s="135"/>
      <c r="G62" s="135"/>
      <c r="H62" s="135"/>
      <c r="I62" s="91" t="s">
        <v>13</v>
      </c>
    </row>
    <row r="63" spans="1:12" ht="30" customHeight="1" x14ac:dyDescent="0.2">
      <c r="B63" s="87" t="s">
        <v>35</v>
      </c>
      <c r="C63" s="148"/>
      <c r="D63" s="148"/>
      <c r="E63" s="147" t="s">
        <v>35</v>
      </c>
      <c r="F63" s="148"/>
      <c r="G63" s="148"/>
      <c r="H63" s="148"/>
      <c r="I63" s="88" t="s">
        <v>35</v>
      </c>
    </row>
    <row r="64" spans="1:12" ht="30" customHeight="1" x14ac:dyDescent="0.2">
      <c r="B64" s="85"/>
      <c r="C64" s="135"/>
      <c r="D64" s="135"/>
      <c r="E64" s="135"/>
      <c r="F64" s="135"/>
      <c r="G64" s="135"/>
      <c r="H64" s="135"/>
      <c r="I64" s="89"/>
    </row>
    <row r="65" spans="1:12" ht="30" customHeight="1" x14ac:dyDescent="0.2">
      <c r="B65" s="87"/>
      <c r="C65" s="148"/>
      <c r="D65" s="148"/>
      <c r="E65" s="148"/>
      <c r="F65" s="148"/>
      <c r="G65" s="148"/>
      <c r="H65" s="148"/>
      <c r="I65" s="92"/>
    </row>
    <row r="66" spans="1:12" ht="30" customHeight="1" x14ac:dyDescent="0.2">
      <c r="B66" s="85"/>
      <c r="C66" s="135"/>
      <c r="D66" s="135"/>
      <c r="E66" s="135"/>
      <c r="F66" s="135"/>
      <c r="G66" s="135"/>
      <c r="H66" s="135"/>
      <c r="I66" s="89"/>
    </row>
    <row r="67" spans="1:12" ht="30" customHeight="1" x14ac:dyDescent="0.2">
      <c r="B67" s="87"/>
      <c r="C67" s="148"/>
      <c r="D67" s="148"/>
      <c r="E67" s="148"/>
      <c r="F67" s="148"/>
      <c r="G67" s="148"/>
      <c r="H67" s="148"/>
      <c r="I67" s="90"/>
    </row>
    <row r="68" spans="1:12" ht="30" customHeight="1" x14ac:dyDescent="0.2">
      <c r="B68" s="85"/>
      <c r="C68" s="135"/>
      <c r="D68" s="135"/>
      <c r="E68" s="135"/>
      <c r="F68" s="135"/>
      <c r="G68" s="135"/>
      <c r="H68" s="135"/>
      <c r="I68" s="89"/>
    </row>
    <row r="69" spans="1:12" ht="30" customHeight="1" x14ac:dyDescent="0.2">
      <c r="B69" s="87"/>
      <c r="C69" s="148"/>
      <c r="D69" s="148"/>
      <c r="E69" s="148"/>
      <c r="F69" s="148"/>
      <c r="G69" s="148"/>
      <c r="H69" s="148"/>
      <c r="I69" s="90"/>
    </row>
    <row r="70" spans="1:12" ht="30" customHeight="1" x14ac:dyDescent="0.2">
      <c r="B70" s="85" t="s">
        <v>15</v>
      </c>
      <c r="C70" s="135"/>
      <c r="D70" s="135"/>
      <c r="E70" s="135" t="s">
        <v>15</v>
      </c>
      <c r="F70" s="135"/>
      <c r="G70" s="135"/>
      <c r="H70" s="135"/>
      <c r="I70" s="89" t="s">
        <v>15</v>
      </c>
    </row>
    <row r="71" spans="1:12" ht="30" customHeight="1" x14ac:dyDescent="0.2">
      <c r="B71" s="87" t="s">
        <v>35</v>
      </c>
      <c r="C71" s="148"/>
      <c r="D71" s="148"/>
      <c r="E71" s="147" t="s">
        <v>35</v>
      </c>
      <c r="F71" s="148"/>
      <c r="G71" s="148"/>
      <c r="H71" s="148"/>
      <c r="I71" s="88" t="s">
        <v>35</v>
      </c>
    </row>
    <row r="72" spans="1:12" ht="30" customHeight="1" x14ac:dyDescent="0.2">
      <c r="B72" s="85"/>
      <c r="C72" s="135"/>
      <c r="D72" s="135"/>
      <c r="E72" s="135"/>
      <c r="F72" s="135"/>
      <c r="G72" s="135"/>
      <c r="H72" s="135"/>
      <c r="I72" s="89"/>
    </row>
    <row r="73" spans="1:12" ht="30" customHeight="1" x14ac:dyDescent="0.2">
      <c r="B73" s="87"/>
      <c r="C73" s="148"/>
      <c r="D73" s="148"/>
      <c r="E73" s="148"/>
      <c r="F73" s="148"/>
      <c r="G73" s="148"/>
      <c r="H73" s="148"/>
      <c r="I73" s="90"/>
    </row>
    <row r="74" spans="1:12" ht="30" customHeight="1" x14ac:dyDescent="0.2">
      <c r="B74" s="85"/>
      <c r="C74" s="135" t="s">
        <v>17</v>
      </c>
      <c r="D74" s="135"/>
      <c r="E74" s="135"/>
      <c r="F74" s="135"/>
      <c r="G74" s="135" t="s">
        <v>17</v>
      </c>
      <c r="H74" s="135"/>
      <c r="I74" s="89"/>
    </row>
    <row r="75" spans="1:12" ht="30" customHeight="1" x14ac:dyDescent="0.2">
      <c r="B75" s="87"/>
      <c r="C75" s="148" t="s">
        <v>18</v>
      </c>
      <c r="D75" s="148"/>
      <c r="E75" s="148"/>
      <c r="F75" s="148"/>
      <c r="G75" s="148" t="s">
        <v>18</v>
      </c>
      <c r="H75" s="148"/>
      <c r="I75" s="90"/>
    </row>
    <row r="76" spans="1:12" ht="30" customHeight="1" x14ac:dyDescent="0.2">
      <c r="B76" s="85"/>
      <c r="C76" s="135"/>
      <c r="D76" s="135"/>
      <c r="E76" s="135"/>
      <c r="F76" s="135"/>
      <c r="G76" s="135"/>
      <c r="H76" s="135"/>
      <c r="I76" s="89"/>
    </row>
    <row r="77" spans="1:12" ht="30" customHeight="1" x14ac:dyDescent="0.2">
      <c r="B77" s="93"/>
      <c r="C77" s="146"/>
      <c r="D77" s="146"/>
      <c r="E77" s="146"/>
      <c r="F77" s="146"/>
      <c r="G77" s="146"/>
      <c r="H77" s="146"/>
      <c r="I77" s="94"/>
    </row>
    <row r="78" spans="1:12" s="27" customFormat="1" ht="30" customHeight="1" x14ac:dyDescent="0.2">
      <c r="A78" s="2"/>
      <c r="B78" s="78"/>
      <c r="C78" s="79"/>
      <c r="D78" s="79"/>
      <c r="E78" s="79"/>
      <c r="F78" s="79"/>
      <c r="G78" s="79"/>
      <c r="H78" s="79"/>
      <c r="I78" s="80"/>
      <c r="L78" s="2"/>
    </row>
    <row r="79" spans="1:12" ht="30" customHeight="1" x14ac:dyDescent="0.2">
      <c r="B79" s="81" t="s">
        <v>65</v>
      </c>
      <c r="C79" s="17"/>
      <c r="D79" s="17"/>
      <c r="E79" s="17"/>
      <c r="F79" s="17"/>
      <c r="G79" s="17"/>
      <c r="H79" s="17"/>
      <c r="I79" s="82"/>
    </row>
    <row r="80" spans="1:12" ht="30" customHeight="1" x14ac:dyDescent="0.2">
      <c r="B80" s="83" t="s">
        <v>2</v>
      </c>
      <c r="C80" s="133" t="s">
        <v>4</v>
      </c>
      <c r="D80" s="134"/>
      <c r="E80" s="133" t="s">
        <v>6</v>
      </c>
      <c r="F80" s="134"/>
      <c r="G80" s="133" t="s">
        <v>7</v>
      </c>
      <c r="H80" s="134"/>
      <c r="I80" s="84" t="s">
        <v>8</v>
      </c>
    </row>
    <row r="81" spans="2:9" ht="30" customHeight="1" x14ac:dyDescent="0.2">
      <c r="B81" s="85">
        <v>0.35416666666666669</v>
      </c>
      <c r="C81" s="135"/>
      <c r="D81" s="135"/>
      <c r="E81" s="135">
        <v>0.35416666666666669</v>
      </c>
      <c r="F81" s="135"/>
      <c r="G81" s="135"/>
      <c r="H81" s="135"/>
      <c r="I81" s="86">
        <v>0.35416666666666669</v>
      </c>
    </row>
    <row r="82" spans="2:9" ht="30" customHeight="1" x14ac:dyDescent="0.2">
      <c r="B82" s="87" t="s">
        <v>35</v>
      </c>
      <c r="C82" s="148"/>
      <c r="D82" s="148"/>
      <c r="E82" s="147" t="s">
        <v>35</v>
      </c>
      <c r="F82" s="148"/>
      <c r="G82" s="148"/>
      <c r="H82" s="148"/>
      <c r="I82" s="88" t="s">
        <v>35</v>
      </c>
    </row>
    <row r="83" spans="2:9" ht="30" customHeight="1" x14ac:dyDescent="0.2">
      <c r="B83" s="85"/>
      <c r="C83" s="135" t="s">
        <v>11</v>
      </c>
      <c r="D83" s="135"/>
      <c r="E83" s="135"/>
      <c r="F83" s="135"/>
      <c r="G83" s="135" t="s">
        <v>11</v>
      </c>
      <c r="H83" s="135"/>
      <c r="I83" s="89"/>
    </row>
    <row r="84" spans="2:9" ht="30" customHeight="1" x14ac:dyDescent="0.2">
      <c r="B84" s="87"/>
      <c r="C84" s="147" t="s">
        <v>35</v>
      </c>
      <c r="D84" s="148"/>
      <c r="E84" s="148"/>
      <c r="F84" s="148"/>
      <c r="G84" s="147" t="s">
        <v>35</v>
      </c>
      <c r="H84" s="148"/>
      <c r="I84" s="90"/>
    </row>
    <row r="85" spans="2:9" ht="30" customHeight="1" x14ac:dyDescent="0.2">
      <c r="B85" s="85" t="s">
        <v>13</v>
      </c>
      <c r="C85" s="135"/>
      <c r="D85" s="135"/>
      <c r="E85" s="135" t="s">
        <v>13</v>
      </c>
      <c r="F85" s="135"/>
      <c r="G85" s="135"/>
      <c r="H85" s="135"/>
      <c r="I85" s="91" t="s">
        <v>13</v>
      </c>
    </row>
    <row r="86" spans="2:9" ht="30" customHeight="1" x14ac:dyDescent="0.2">
      <c r="B86" s="87" t="s">
        <v>35</v>
      </c>
      <c r="C86" s="148"/>
      <c r="D86" s="148"/>
      <c r="E86" s="147" t="s">
        <v>35</v>
      </c>
      <c r="F86" s="148"/>
      <c r="G86" s="148"/>
      <c r="H86" s="148"/>
      <c r="I86" s="88" t="s">
        <v>35</v>
      </c>
    </row>
    <row r="87" spans="2:9" ht="30" customHeight="1" x14ac:dyDescent="0.2">
      <c r="B87" s="85"/>
      <c r="C87" s="135"/>
      <c r="D87" s="135"/>
      <c r="E87" s="135"/>
      <c r="F87" s="135"/>
      <c r="G87" s="135"/>
      <c r="H87" s="135"/>
      <c r="I87" s="89"/>
    </row>
    <row r="88" spans="2:9" ht="30" customHeight="1" x14ac:dyDescent="0.2">
      <c r="B88" s="87"/>
      <c r="C88" s="148"/>
      <c r="D88" s="148"/>
      <c r="E88" s="148"/>
      <c r="F88" s="148"/>
      <c r="G88" s="148"/>
      <c r="H88" s="148"/>
      <c r="I88" s="92"/>
    </row>
    <row r="89" spans="2:9" ht="30" customHeight="1" x14ac:dyDescent="0.2">
      <c r="B89" s="85"/>
      <c r="C89" s="135"/>
      <c r="D89" s="135"/>
      <c r="E89" s="135"/>
      <c r="F89" s="135"/>
      <c r="G89" s="135"/>
      <c r="H89" s="135"/>
      <c r="I89" s="89"/>
    </row>
    <row r="90" spans="2:9" ht="30" customHeight="1" x14ac:dyDescent="0.2">
      <c r="B90" s="87"/>
      <c r="C90" s="148"/>
      <c r="D90" s="148"/>
      <c r="E90" s="148"/>
      <c r="F90" s="148"/>
      <c r="G90" s="148"/>
      <c r="H90" s="148"/>
      <c r="I90" s="90"/>
    </row>
    <row r="91" spans="2:9" ht="30" customHeight="1" x14ac:dyDescent="0.2">
      <c r="B91" s="85"/>
      <c r="C91" s="135"/>
      <c r="D91" s="135"/>
      <c r="E91" s="135"/>
      <c r="F91" s="135"/>
      <c r="G91" s="135"/>
      <c r="H91" s="135"/>
      <c r="I91" s="89"/>
    </row>
    <row r="92" spans="2:9" ht="30" customHeight="1" x14ac:dyDescent="0.2">
      <c r="B92" s="87"/>
      <c r="C92" s="148"/>
      <c r="D92" s="148"/>
      <c r="E92" s="148"/>
      <c r="F92" s="148"/>
      <c r="G92" s="148"/>
      <c r="H92" s="148"/>
      <c r="I92" s="90"/>
    </row>
    <row r="93" spans="2:9" ht="30" customHeight="1" x14ac:dyDescent="0.2">
      <c r="B93" s="85" t="s">
        <v>15</v>
      </c>
      <c r="C93" s="135"/>
      <c r="D93" s="135"/>
      <c r="E93" s="135" t="s">
        <v>15</v>
      </c>
      <c r="F93" s="135"/>
      <c r="G93" s="135"/>
      <c r="H93" s="135"/>
      <c r="I93" s="89" t="s">
        <v>15</v>
      </c>
    </row>
    <row r="94" spans="2:9" ht="30" customHeight="1" x14ac:dyDescent="0.2">
      <c r="B94" s="87" t="s">
        <v>35</v>
      </c>
      <c r="C94" s="148"/>
      <c r="D94" s="148"/>
      <c r="E94" s="147" t="s">
        <v>35</v>
      </c>
      <c r="F94" s="148"/>
      <c r="G94" s="148"/>
      <c r="H94" s="148"/>
      <c r="I94" s="88" t="s">
        <v>35</v>
      </c>
    </row>
    <row r="95" spans="2:9" ht="30" customHeight="1" x14ac:dyDescent="0.2">
      <c r="B95" s="85"/>
      <c r="C95" s="135"/>
      <c r="D95" s="135"/>
      <c r="E95" s="135"/>
      <c r="F95" s="135"/>
      <c r="G95" s="135"/>
      <c r="H95" s="135"/>
      <c r="I95" s="89"/>
    </row>
    <row r="96" spans="2:9" ht="30" customHeight="1" x14ac:dyDescent="0.2">
      <c r="B96" s="87"/>
      <c r="C96" s="148"/>
      <c r="D96" s="148"/>
      <c r="E96" s="148"/>
      <c r="F96" s="148"/>
      <c r="G96" s="148"/>
      <c r="H96" s="148"/>
      <c r="I96" s="90"/>
    </row>
    <row r="97" spans="2:9" ht="30" customHeight="1" x14ac:dyDescent="0.2">
      <c r="B97" s="85"/>
      <c r="C97" s="135" t="s">
        <v>17</v>
      </c>
      <c r="D97" s="135"/>
      <c r="E97" s="135"/>
      <c r="F97" s="135"/>
      <c r="G97" s="135" t="s">
        <v>17</v>
      </c>
      <c r="H97" s="135"/>
      <c r="I97" s="89"/>
    </row>
    <row r="98" spans="2:9" ht="30" customHeight="1" x14ac:dyDescent="0.2">
      <c r="B98" s="87"/>
      <c r="C98" s="147" t="s">
        <v>35</v>
      </c>
      <c r="D98" s="148"/>
      <c r="E98" s="148"/>
      <c r="F98" s="148"/>
      <c r="G98" s="147" t="s">
        <v>35</v>
      </c>
      <c r="H98" s="148"/>
      <c r="I98" s="90"/>
    </row>
    <row r="99" spans="2:9" ht="30" customHeight="1" x14ac:dyDescent="0.2">
      <c r="B99" s="85"/>
      <c r="C99" s="135"/>
      <c r="D99" s="135"/>
      <c r="E99" s="135"/>
      <c r="F99" s="135"/>
      <c r="G99" s="135"/>
      <c r="H99" s="135"/>
      <c r="I99" s="89"/>
    </row>
    <row r="100" spans="2:9" ht="30" customHeight="1" x14ac:dyDescent="0.2">
      <c r="B100" s="93"/>
      <c r="C100" s="146"/>
      <c r="D100" s="146"/>
      <c r="E100" s="146"/>
      <c r="F100" s="146"/>
      <c r="G100" s="146"/>
      <c r="H100" s="146"/>
      <c r="I100" s="94"/>
    </row>
  </sheetData>
  <mergeCells count="252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C40:D40"/>
    <mergeCell ref="E40:F40"/>
    <mergeCell ref="G40:H40"/>
    <mergeCell ref="C41:D41"/>
    <mergeCell ref="E41:F41"/>
    <mergeCell ref="G41:H41"/>
    <mergeCell ref="C38:D38"/>
    <mergeCell ref="E38:F38"/>
    <mergeCell ref="G38:H38"/>
    <mergeCell ref="C39:D39"/>
    <mergeCell ref="E39:F39"/>
    <mergeCell ref="G39:H39"/>
    <mergeCell ref="C44:D44"/>
    <mergeCell ref="E44:F44"/>
    <mergeCell ref="G44:H44"/>
    <mergeCell ref="C45:D45"/>
    <mergeCell ref="E45:F45"/>
    <mergeCell ref="G45:H45"/>
    <mergeCell ref="C42:D42"/>
    <mergeCell ref="E42:F42"/>
    <mergeCell ref="G42:H42"/>
    <mergeCell ref="C43:D43"/>
    <mergeCell ref="E43:F43"/>
    <mergeCell ref="G43:H43"/>
    <mergeCell ref="C48:D48"/>
    <mergeCell ref="E48:F48"/>
    <mergeCell ref="G48:H48"/>
    <mergeCell ref="C49:D49"/>
    <mergeCell ref="E49:F49"/>
    <mergeCell ref="G49:H49"/>
    <mergeCell ref="C46:D46"/>
    <mergeCell ref="E46:F46"/>
    <mergeCell ref="G46:H46"/>
    <mergeCell ref="C47:D47"/>
    <mergeCell ref="E47:F47"/>
    <mergeCell ref="G47:H47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58:D58"/>
    <mergeCell ref="E58:F58"/>
    <mergeCell ref="G58:H58"/>
    <mergeCell ref="C59:D59"/>
    <mergeCell ref="E59:F59"/>
    <mergeCell ref="G59:H59"/>
    <mergeCell ref="C54:D54"/>
    <mergeCell ref="E54:F54"/>
    <mergeCell ref="G54:H54"/>
    <mergeCell ref="C57:D57"/>
    <mergeCell ref="E57:F57"/>
    <mergeCell ref="G57:H57"/>
    <mergeCell ref="C62:D62"/>
    <mergeCell ref="E62:F62"/>
    <mergeCell ref="G62:H62"/>
    <mergeCell ref="C63:D63"/>
    <mergeCell ref="E63:F63"/>
    <mergeCell ref="G63:H63"/>
    <mergeCell ref="C60:D60"/>
    <mergeCell ref="E60:F60"/>
    <mergeCell ref="G60:H60"/>
    <mergeCell ref="C61:D61"/>
    <mergeCell ref="E61:F61"/>
    <mergeCell ref="G61:H61"/>
    <mergeCell ref="C66:D66"/>
    <mergeCell ref="E66:F66"/>
    <mergeCell ref="G66:H66"/>
    <mergeCell ref="C67:D67"/>
    <mergeCell ref="E67:F67"/>
    <mergeCell ref="G67:H67"/>
    <mergeCell ref="C64:D64"/>
    <mergeCell ref="E64:F64"/>
    <mergeCell ref="G64:H64"/>
    <mergeCell ref="C65:D65"/>
    <mergeCell ref="E65:F65"/>
    <mergeCell ref="G65:H65"/>
    <mergeCell ref="C70:D70"/>
    <mergeCell ref="E70:F70"/>
    <mergeCell ref="G70:H70"/>
    <mergeCell ref="C71:D71"/>
    <mergeCell ref="E71:F71"/>
    <mergeCell ref="G71:H71"/>
    <mergeCell ref="C68:D68"/>
    <mergeCell ref="E68:F68"/>
    <mergeCell ref="G68:H68"/>
    <mergeCell ref="C69:D69"/>
    <mergeCell ref="E69:F69"/>
    <mergeCell ref="G69:H69"/>
    <mergeCell ref="C74:D74"/>
    <mergeCell ref="E74:F74"/>
    <mergeCell ref="G74:H74"/>
    <mergeCell ref="C75:D75"/>
    <mergeCell ref="E75:F75"/>
    <mergeCell ref="G75:H75"/>
    <mergeCell ref="C72:D72"/>
    <mergeCell ref="E72:F72"/>
    <mergeCell ref="G72:H72"/>
    <mergeCell ref="C73:D73"/>
    <mergeCell ref="E73:F73"/>
    <mergeCell ref="G73:H73"/>
    <mergeCell ref="C80:D80"/>
    <mergeCell ref="E80:F80"/>
    <mergeCell ref="G80:H80"/>
    <mergeCell ref="C81:D81"/>
    <mergeCell ref="E81:F81"/>
    <mergeCell ref="G81:H81"/>
    <mergeCell ref="C76:D76"/>
    <mergeCell ref="E76:F76"/>
    <mergeCell ref="G76:H76"/>
    <mergeCell ref="C77:D77"/>
    <mergeCell ref="E77:F77"/>
    <mergeCell ref="G77:H77"/>
    <mergeCell ref="C84:D84"/>
    <mergeCell ref="E84:F84"/>
    <mergeCell ref="G84:H84"/>
    <mergeCell ref="C85:D85"/>
    <mergeCell ref="E85:F85"/>
    <mergeCell ref="G85:H85"/>
    <mergeCell ref="C82:D82"/>
    <mergeCell ref="E82:F82"/>
    <mergeCell ref="G82:H82"/>
    <mergeCell ref="C83:D83"/>
    <mergeCell ref="E83:F83"/>
    <mergeCell ref="G83:H83"/>
    <mergeCell ref="C88:D88"/>
    <mergeCell ref="E88:F88"/>
    <mergeCell ref="G88:H88"/>
    <mergeCell ref="C89:D89"/>
    <mergeCell ref="E89:F89"/>
    <mergeCell ref="G89:H89"/>
    <mergeCell ref="C86:D86"/>
    <mergeCell ref="E86:F86"/>
    <mergeCell ref="G86:H86"/>
    <mergeCell ref="C87:D87"/>
    <mergeCell ref="E87:F87"/>
    <mergeCell ref="G87:H87"/>
    <mergeCell ref="C92:D92"/>
    <mergeCell ref="E92:F92"/>
    <mergeCell ref="G92:H92"/>
    <mergeCell ref="C93:D93"/>
    <mergeCell ref="E93:F93"/>
    <mergeCell ref="G93:H93"/>
    <mergeCell ref="C90:D90"/>
    <mergeCell ref="E90:F90"/>
    <mergeCell ref="G90:H90"/>
    <mergeCell ref="C91:D91"/>
    <mergeCell ref="E91:F91"/>
    <mergeCell ref="G91:H91"/>
    <mergeCell ref="C96:D96"/>
    <mergeCell ref="E96:F96"/>
    <mergeCell ref="G96:H96"/>
    <mergeCell ref="C97:D97"/>
    <mergeCell ref="E97:F97"/>
    <mergeCell ref="G97:H97"/>
    <mergeCell ref="C94:D94"/>
    <mergeCell ref="E94:F94"/>
    <mergeCell ref="G94:H94"/>
    <mergeCell ref="C95:D95"/>
    <mergeCell ref="E95:F95"/>
    <mergeCell ref="G95:H95"/>
    <mergeCell ref="C100:D100"/>
    <mergeCell ref="E100:F100"/>
    <mergeCell ref="G100:H100"/>
    <mergeCell ref="C98:D98"/>
    <mergeCell ref="E98:F98"/>
    <mergeCell ref="G98:H98"/>
    <mergeCell ref="C99:D99"/>
    <mergeCell ref="E99:F99"/>
    <mergeCell ref="G99:H99"/>
  </mergeCells>
  <conditionalFormatting sqref="C3:H3">
    <cfRule type="expression" dxfId="48" priority="22" stopIfTrue="1">
      <formula>DAY(C3)&gt;8</formula>
    </cfRule>
  </conditionalFormatting>
  <conditionalFormatting sqref="C7:I8">
    <cfRule type="expression" dxfId="47" priority="21" stopIfTrue="1">
      <formula>AND(DAY(C7)&gt;=1,DAY(C7)&lt;=15)</formula>
    </cfRule>
  </conditionalFormatting>
  <conditionalFormatting sqref="C3:I8">
    <cfRule type="expression" dxfId="46" priority="23">
      <formula>VLOOKUP(DAY(C3),AssignmentDays,1,FALSE)=DAY(C3)</formula>
    </cfRule>
  </conditionalFormatting>
  <conditionalFormatting sqref="B83:I83 B85:I85 B87:I87 B89:I89 B91:I91 B93:I93 B95:I95 B97:I97 B99:I99 B81:I81">
    <cfRule type="expression" dxfId="45" priority="4">
      <formula>B81&lt;&gt;""</formula>
    </cfRule>
  </conditionalFormatting>
  <conditionalFormatting sqref="B82:I82 B84:I84 B86:I86 B88:I88 B90:I90 B92:I92 B94:I94 B96:I96 B98:I98">
    <cfRule type="expression" dxfId="44" priority="2">
      <formula>COLUMN(B82)&gt;=2</formula>
    </cfRule>
  </conditionalFormatting>
  <conditionalFormatting sqref="B81:I100">
    <cfRule type="expression" dxfId="43" priority="1">
      <formula>COLUMN(B81)&gt;2</formula>
    </cfRule>
  </conditionalFormatting>
  <conditionalFormatting sqref="B14:I14 B16:I16 B18:I18 B22:I22 B24:I24 B26:I26 B28:I28 B30:I30 B12:I12 B20:I20">
    <cfRule type="expression" dxfId="42" priority="16">
      <formula>B12&lt;&gt;""</formula>
    </cfRule>
  </conditionalFormatting>
  <conditionalFormatting sqref="B13:I13 B15:I15 B17:I17 B19:I19 B21:I21 B23:I23 B25:I25 B27:I27 B29:I29 B31:I31">
    <cfRule type="expression" dxfId="41" priority="15">
      <formula>B13&lt;&gt;""</formula>
    </cfRule>
  </conditionalFormatting>
  <conditionalFormatting sqref="B13:I13 B15:I15 B17:I17 B19:I19 B21:I21 B23:I23 B25:I25 B27:I27 B29:I29">
    <cfRule type="expression" dxfId="40" priority="14">
      <formula>COLUMN(B13)&gt;=2</formula>
    </cfRule>
  </conditionalFormatting>
  <conditionalFormatting sqref="B12:I31">
    <cfRule type="expression" dxfId="39" priority="13">
      <formula>COLUMN(B12)&gt;2</formula>
    </cfRule>
  </conditionalFormatting>
  <conditionalFormatting sqref="B37:I37 B39:I39 B41:I41 B43:I43 B45:I45 B47:I47 B49:I49 B51:I51 B53:I53 B35:I35">
    <cfRule type="expression" dxfId="38" priority="12">
      <formula>B35&lt;&gt;""</formula>
    </cfRule>
  </conditionalFormatting>
  <conditionalFormatting sqref="B36:I36 B38:I38 B40:I40 B42:I42 B44:I44 B46:I46 B48:I48 B50:I50 B52:I52 B54:I54">
    <cfRule type="expression" dxfId="37" priority="11">
      <formula>B36&lt;&gt;""</formula>
    </cfRule>
  </conditionalFormatting>
  <conditionalFormatting sqref="B36:I36 B38:I38 B40:I40 B42:I42 B44:I44 B46:I46 B48:I48 B50:I50 B52:I52">
    <cfRule type="expression" dxfId="36" priority="10">
      <formula>COLUMN(B36)&gt;=2</formula>
    </cfRule>
  </conditionalFormatting>
  <conditionalFormatting sqref="B35:I54">
    <cfRule type="expression" dxfId="35" priority="9">
      <formula>COLUMN(B35)&gt;2</formula>
    </cfRule>
  </conditionalFormatting>
  <conditionalFormatting sqref="B60:I60 B62:I62 B64:I64 B66:I66 B68:I68 B70:I70 B72:I72 B74:I74 B76:I76 B58:I58">
    <cfRule type="expression" dxfId="34" priority="8">
      <formula>B58&lt;&gt;""</formula>
    </cfRule>
  </conditionalFormatting>
  <conditionalFormatting sqref="B59:I59 B61:I61 B63:I63 B65:I65 B67:I67 B69:I69 B71:I71 B73:I73 B75:I75 B77:I77">
    <cfRule type="expression" dxfId="33" priority="7">
      <formula>B59&lt;&gt;""</formula>
    </cfRule>
  </conditionalFormatting>
  <conditionalFormatting sqref="B59:I59 B61:I61 B63:I63 B65:I65 B67:I67 B69:I69 B71:I71 B73:I73 B75:I75">
    <cfRule type="expression" dxfId="32" priority="6">
      <formula>COLUMN(B59)&gt;=2</formula>
    </cfRule>
  </conditionalFormatting>
  <conditionalFormatting sqref="B58:I77">
    <cfRule type="expression" dxfId="31" priority="5">
      <formula>COLUMN(B58)&gt;2</formula>
    </cfRule>
  </conditionalFormatting>
  <conditionalFormatting sqref="B82:I82 B84:I84 B86:I86 B88:I88 B90:I90 B92:I92 B94:I94 B96:I96 B98:I98 B100:I100">
    <cfRule type="expression" dxfId="30" priority="3">
      <formula>B82&lt;&gt;""</formula>
    </cfRule>
  </conditionalFormatting>
  <dataValidations xWindow="132" yWindow="585" count="13">
    <dataValidation allowBlank="1" showInputMessage="1" showErrorMessage="1" prompt="August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 I12 B35 I35 B58 I58 B81 I81"/>
    <dataValidation allowBlank="1" showInputMessage="1" showErrorMessage="1" prompt="Enter class in this row from columns B to I" sqref="B13 B36 B59 B8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 B34 B57 B80"/>
    <dataValidation allowBlank="1" showInputMessage="1" showErrorMessage="1" prompt="Enter the time of your class and under it, in a new row, the class name for each weekday in columns B to I. Repeat this pattern for all classes in subsequent rows" sqref="B10 B56 B33 B79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topLeftCell="A10" zoomScale="70" zoomScaleNormal="70" zoomScalePageLayoutView="84" workbookViewId="0">
      <selection activeCell="E36" sqref="E36"/>
    </sheetView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26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IF(DAY(SepSun1)=1,SepSun1-6,SepSun1+1)</f>
        <v>42975</v>
      </c>
      <c r="D3" s="13">
        <f ca="1">IF(DAY(SepSun1)=1,SepSun1-5,SepSun1+2)</f>
        <v>42976</v>
      </c>
      <c r="E3" s="13">
        <f ca="1">IF(DAY(SepSun1)=1,SepSun1-4,SepSun1+3)</f>
        <v>42977</v>
      </c>
      <c r="F3" s="13">
        <f ca="1">IF(DAY(SepSun1)=1,SepSun1-3,SepSun1+4)</f>
        <v>42978</v>
      </c>
      <c r="G3" s="13">
        <f ca="1">IF(DAY(SepSun1)=1,SepSun1-2,SepSun1+5)</f>
        <v>42979</v>
      </c>
      <c r="H3" s="13">
        <f ca="1">IF(DAY(SepSun1)=1,SepSun1-1,SepSun1+6)</f>
        <v>42980</v>
      </c>
      <c r="I3" s="13">
        <f ca="1">IF(DAY(SepSun1)=1,SepSun1,SepSun1+7)</f>
        <v>42981</v>
      </c>
      <c r="J3" s="18"/>
      <c r="K3" s="3"/>
      <c r="L3" s="10"/>
    </row>
    <row r="4" spans="1:12" ht="30" customHeight="1" x14ac:dyDescent="0.25">
      <c r="A4" s="21"/>
      <c r="C4" s="13">
        <f ca="1">IF(DAY(SepSun1)=1,SepSun1+1,SepSun1+8)</f>
        <v>42982</v>
      </c>
      <c r="D4" s="13">
        <f ca="1">IF(DAY(SepSun1)=1,SepSun1+2,SepSun1+9)</f>
        <v>42983</v>
      </c>
      <c r="E4" s="13">
        <f ca="1">IF(DAY(SepSun1)=1,SepSun1+3,SepSun1+10)</f>
        <v>42984</v>
      </c>
      <c r="F4" s="13">
        <f ca="1">IF(DAY(SepSun1)=1,SepSun1+4,SepSun1+11)</f>
        <v>42985</v>
      </c>
      <c r="G4" s="13">
        <f ca="1">IF(DAY(SepSun1)=1,SepSun1+5,SepSun1+12)</f>
        <v>42986</v>
      </c>
      <c r="H4" s="13">
        <f ca="1">IF(DAY(SepSun1)=1,SepSun1+6,SepSun1+13)</f>
        <v>42987</v>
      </c>
      <c r="I4" s="13">
        <f ca="1">IF(DAY(SepSun1)=1,SepSun1+7,SepSun1+14)</f>
        <v>42988</v>
      </c>
      <c r="J4" s="18"/>
      <c r="K4" s="3"/>
      <c r="L4" s="10"/>
    </row>
    <row r="5" spans="1:12" ht="30" customHeight="1" x14ac:dyDescent="0.25">
      <c r="A5" s="21"/>
      <c r="C5" s="13">
        <f ca="1">IF(DAY(SepSun1)=1,SepSun1+8,SepSun1+15)</f>
        <v>42989</v>
      </c>
      <c r="D5" s="13">
        <f ca="1">IF(DAY(SepSun1)=1,SepSun1+9,SepSun1+16)</f>
        <v>42990</v>
      </c>
      <c r="E5" s="13">
        <f ca="1">IF(DAY(SepSun1)=1,SepSun1+10,SepSun1+17)</f>
        <v>42991</v>
      </c>
      <c r="F5" s="13">
        <f ca="1">IF(DAY(SepSun1)=1,SepSun1+11,SepSun1+18)</f>
        <v>42992</v>
      </c>
      <c r="G5" s="13">
        <f ca="1">IF(DAY(SepSun1)=1,SepSun1+12,SepSun1+19)</f>
        <v>42993</v>
      </c>
      <c r="H5" s="13">
        <f ca="1">IF(DAY(SepSun1)=1,SepSun1+13,SepSun1+20)</f>
        <v>42994</v>
      </c>
      <c r="I5" s="13">
        <f ca="1">IF(DAY(SepSun1)=1,SepSun1+14,SepSun1+21)</f>
        <v>42995</v>
      </c>
      <c r="J5" s="18"/>
      <c r="K5" s="3"/>
      <c r="L5" s="10"/>
    </row>
    <row r="6" spans="1:12" ht="30" customHeight="1" x14ac:dyDescent="0.25">
      <c r="A6" s="21"/>
      <c r="C6" s="13">
        <f ca="1">IF(DAY(SepSun1)=1,SepSun1+15,SepSun1+22)</f>
        <v>42996</v>
      </c>
      <c r="D6" s="13">
        <f ca="1">IF(DAY(SepSun1)=1,SepSun1+16,SepSun1+23)</f>
        <v>42997</v>
      </c>
      <c r="E6" s="13">
        <f ca="1">IF(DAY(SepSun1)=1,SepSun1+17,SepSun1+24)</f>
        <v>42998</v>
      </c>
      <c r="F6" s="13">
        <f ca="1">IF(DAY(SepSun1)=1,SepSun1+18,SepSun1+25)</f>
        <v>42999</v>
      </c>
      <c r="G6" s="13">
        <f ca="1">IF(DAY(SepSun1)=1,SepSun1+19,SepSun1+26)</f>
        <v>43000</v>
      </c>
      <c r="H6" s="13">
        <f ca="1">IF(DAY(SepSun1)=1,SepSun1+20,SepSun1+27)</f>
        <v>43001</v>
      </c>
      <c r="I6" s="13">
        <f ca="1">IF(DAY(SepSun1)=1,SepSun1+21,SepSun1+28)</f>
        <v>43002</v>
      </c>
      <c r="J6" s="18"/>
      <c r="K6" s="3"/>
      <c r="L6" s="10"/>
    </row>
    <row r="7" spans="1:12" ht="30" customHeight="1" x14ac:dyDescent="0.25">
      <c r="A7" s="21"/>
      <c r="C7" s="13">
        <f ca="1">IF(DAY(SepSun1)=1,SepSun1+22,SepSun1+29)</f>
        <v>43003</v>
      </c>
      <c r="D7" s="13">
        <f ca="1">IF(DAY(SepSun1)=1,SepSun1+23,SepSun1+30)</f>
        <v>43004</v>
      </c>
      <c r="E7" s="13">
        <f ca="1">IF(DAY(SepSun1)=1,SepSun1+24,SepSun1+31)</f>
        <v>43005</v>
      </c>
      <c r="F7" s="13">
        <f ca="1">IF(DAY(SepSun1)=1,SepSun1+25,SepSun1+32)</f>
        <v>43006</v>
      </c>
      <c r="G7" s="13">
        <f ca="1">IF(DAY(SepSun1)=1,SepSun1+26,SepSun1+33)</f>
        <v>43007</v>
      </c>
      <c r="H7" s="13">
        <f ca="1">IF(DAY(SepSun1)=1,SepSun1+27,SepSun1+34)</f>
        <v>43008</v>
      </c>
      <c r="I7" s="13">
        <f ca="1">IF(DAY(SepSun1)=1,SepSun1+28,SepSun1+35)</f>
        <v>43009</v>
      </c>
      <c r="J7" s="1"/>
      <c r="K7" s="38"/>
      <c r="L7" s="30"/>
    </row>
    <row r="8" spans="1:12" ht="30" customHeight="1" x14ac:dyDescent="0.25">
      <c r="A8" s="21"/>
      <c r="B8" s="29"/>
      <c r="C8" s="13">
        <f ca="1">IF(DAY(SepSun1)=1,SepSun1+29,SepSun1+36)</f>
        <v>43010</v>
      </c>
      <c r="D8" s="13">
        <f ca="1">IF(DAY(SepSun1)=1,SepSun1+30,SepSun1+37)</f>
        <v>43011</v>
      </c>
      <c r="E8" s="13">
        <f ca="1">IF(DAY(SepSun1)=1,SepSun1+31,SepSun1+38)</f>
        <v>43012</v>
      </c>
      <c r="F8" s="13">
        <f ca="1">IF(DAY(SepSun1)=1,SepSun1+32,SepSun1+39)</f>
        <v>43013</v>
      </c>
      <c r="G8" s="13">
        <f ca="1">IF(DAY(SepSun1)=1,SepSun1+33,SepSun1+40)</f>
        <v>43014</v>
      </c>
      <c r="H8" s="13">
        <f ca="1">IF(DAY(SepSun1)=1,SepSun1+34,SepSun1+41)</f>
        <v>43015</v>
      </c>
      <c r="I8" s="13">
        <f ca="1">IF(DAY(SepSun1)=1,SepSun1+35,SepSun1+42)</f>
        <v>43016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J30" s="18"/>
      <c r="K30" s="3"/>
      <c r="L30" s="10"/>
    </row>
    <row r="31" spans="1:12" ht="30" customHeight="1" x14ac:dyDescent="0.25">
      <c r="A31" s="45" t="s">
        <v>39</v>
      </c>
      <c r="B31" s="55"/>
      <c r="C31" s="151"/>
      <c r="D31" s="151"/>
      <c r="E31" s="151"/>
      <c r="F31" s="151"/>
      <c r="G31" s="151"/>
      <c r="H31" s="151"/>
      <c r="I31" s="56"/>
      <c r="J31" s="18"/>
      <c r="K31" s="31"/>
      <c r="L31" s="22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29" priority="6" stopIfTrue="1">
      <formula>DAY(C3)&gt;8</formula>
    </cfRule>
  </conditionalFormatting>
  <conditionalFormatting sqref="C7:I8">
    <cfRule type="expression" dxfId="28" priority="5" stopIfTrue="1">
      <formula>AND(DAY(C7)&gt;=1,DAY(C7)&lt;=15)</formula>
    </cfRule>
  </conditionalFormatting>
  <conditionalFormatting sqref="C3:I8">
    <cfRule type="expression" dxfId="27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26" priority="4">
      <formula>B13&lt;&gt;""</formula>
    </cfRule>
  </conditionalFormatting>
  <conditionalFormatting sqref="B12:I12 B14:I14 B16:I16 B18:I18 B20:I20 B22:I22 B24:I24 B26:I26 B28:I28 B30:I30">
    <cfRule type="expression" dxfId="25" priority="3">
      <formula>B12&lt;&gt;""</formula>
    </cfRule>
  </conditionalFormatting>
  <conditionalFormatting sqref="B13:I13 B15:I15 B17:I17 B19:I19 B21:I21 B23:I23 B25:I25 B27:I27 B29:I29">
    <cfRule type="expression" dxfId="24" priority="2">
      <formula>COLUMN(B13)&gt;=2</formula>
    </cfRule>
  </conditionalFormatting>
  <conditionalFormatting sqref="B12:I31">
    <cfRule type="expression" dxfId="23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Sept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27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IF(DAY(OctSun1)=1,OctSun1-6,OctSun1+1)</f>
        <v>43003</v>
      </c>
      <c r="D3" s="13">
        <f ca="1">IF(DAY(OctSun1)=1,OctSun1-5,OctSun1+2)</f>
        <v>43004</v>
      </c>
      <c r="E3" s="13">
        <f ca="1">IF(DAY(OctSun1)=1,OctSun1-4,OctSun1+3)</f>
        <v>43005</v>
      </c>
      <c r="F3" s="13">
        <f ca="1">IF(DAY(OctSun1)=1,OctSun1-3,OctSun1+4)</f>
        <v>43006</v>
      </c>
      <c r="G3" s="13">
        <f ca="1">IF(DAY(OctSun1)=1,OctSun1-2,OctSun1+5)</f>
        <v>43007</v>
      </c>
      <c r="H3" s="13">
        <f ca="1">IF(DAY(OctSun1)=1,OctSun1-1,OctSun1+6)</f>
        <v>43008</v>
      </c>
      <c r="I3" s="13">
        <f ca="1">IF(DAY(OctSun1)=1,OctSun1,OctSun1+7)</f>
        <v>43009</v>
      </c>
      <c r="J3" s="18"/>
      <c r="K3" s="3"/>
      <c r="L3" s="10"/>
    </row>
    <row r="4" spans="1:12" ht="30" customHeight="1" x14ac:dyDescent="0.25">
      <c r="A4" s="21"/>
      <c r="C4" s="13">
        <f ca="1">IF(DAY(OctSun1)=1,OctSun1+1,OctSun1+8)</f>
        <v>43010</v>
      </c>
      <c r="D4" s="13">
        <f ca="1">IF(DAY(OctSun1)=1,OctSun1+2,OctSun1+9)</f>
        <v>43011</v>
      </c>
      <c r="E4" s="13">
        <f ca="1">IF(DAY(OctSun1)=1,OctSun1+3,OctSun1+10)</f>
        <v>43012</v>
      </c>
      <c r="F4" s="13">
        <f ca="1">IF(DAY(OctSun1)=1,OctSun1+4,OctSun1+11)</f>
        <v>43013</v>
      </c>
      <c r="G4" s="13">
        <f ca="1">IF(DAY(OctSun1)=1,OctSun1+5,OctSun1+12)</f>
        <v>43014</v>
      </c>
      <c r="H4" s="13">
        <f ca="1">IF(DAY(OctSun1)=1,OctSun1+6,OctSun1+13)</f>
        <v>43015</v>
      </c>
      <c r="I4" s="13">
        <f ca="1">IF(DAY(OctSun1)=1,OctSun1+7,OctSun1+14)</f>
        <v>43016</v>
      </c>
      <c r="J4" s="18"/>
      <c r="K4" s="3"/>
      <c r="L4" s="10"/>
    </row>
    <row r="5" spans="1:12" ht="30" customHeight="1" x14ac:dyDescent="0.25">
      <c r="A5" s="21"/>
      <c r="C5" s="13">
        <f ca="1">IF(DAY(OctSun1)=1,OctSun1+8,OctSun1+15)</f>
        <v>43017</v>
      </c>
      <c r="D5" s="13">
        <f ca="1">IF(DAY(OctSun1)=1,OctSun1+9,OctSun1+16)</f>
        <v>43018</v>
      </c>
      <c r="E5" s="13">
        <f ca="1">IF(DAY(OctSun1)=1,OctSun1+10,OctSun1+17)</f>
        <v>43019</v>
      </c>
      <c r="F5" s="13">
        <f ca="1">IF(DAY(OctSun1)=1,OctSun1+11,OctSun1+18)</f>
        <v>43020</v>
      </c>
      <c r="G5" s="13">
        <f ca="1">IF(DAY(OctSun1)=1,OctSun1+12,OctSun1+19)</f>
        <v>43021</v>
      </c>
      <c r="H5" s="13">
        <f ca="1">IF(DAY(OctSun1)=1,OctSun1+13,OctSun1+20)</f>
        <v>43022</v>
      </c>
      <c r="I5" s="13">
        <f ca="1">IF(DAY(OctSun1)=1,OctSun1+14,OctSun1+21)</f>
        <v>43023</v>
      </c>
      <c r="J5" s="18"/>
      <c r="K5" s="3"/>
      <c r="L5" s="10"/>
    </row>
    <row r="6" spans="1:12" ht="30" customHeight="1" x14ac:dyDescent="0.25">
      <c r="A6" s="21"/>
      <c r="C6" s="13">
        <f ca="1">IF(DAY(OctSun1)=1,OctSun1+15,OctSun1+22)</f>
        <v>43024</v>
      </c>
      <c r="D6" s="13">
        <f ca="1">IF(DAY(OctSun1)=1,OctSun1+16,OctSun1+23)</f>
        <v>43025</v>
      </c>
      <c r="E6" s="13">
        <f ca="1">IF(DAY(OctSun1)=1,OctSun1+17,OctSun1+24)</f>
        <v>43026</v>
      </c>
      <c r="F6" s="13">
        <f ca="1">IF(DAY(OctSun1)=1,OctSun1+18,OctSun1+25)</f>
        <v>43027</v>
      </c>
      <c r="G6" s="13">
        <f ca="1">IF(DAY(OctSun1)=1,OctSun1+19,OctSun1+26)</f>
        <v>43028</v>
      </c>
      <c r="H6" s="13">
        <f ca="1">IF(DAY(OctSun1)=1,OctSun1+20,OctSun1+27)</f>
        <v>43029</v>
      </c>
      <c r="I6" s="13">
        <f ca="1">IF(DAY(OctSun1)=1,OctSun1+21,OctSun1+28)</f>
        <v>43030</v>
      </c>
      <c r="J6" s="18"/>
      <c r="K6" s="3"/>
      <c r="L6" s="10"/>
    </row>
    <row r="7" spans="1:12" ht="30" customHeight="1" x14ac:dyDescent="0.25">
      <c r="A7" s="21"/>
      <c r="C7" s="13">
        <f ca="1">IF(DAY(OctSun1)=1,OctSun1+22,OctSun1+29)</f>
        <v>43031</v>
      </c>
      <c r="D7" s="13">
        <f ca="1">IF(DAY(OctSun1)=1,OctSun1+23,OctSun1+30)</f>
        <v>43032</v>
      </c>
      <c r="E7" s="13">
        <f ca="1">IF(DAY(OctSun1)=1,OctSun1+24,OctSun1+31)</f>
        <v>43033</v>
      </c>
      <c r="F7" s="13">
        <f ca="1">IF(DAY(OctSun1)=1,OctSun1+25,OctSun1+32)</f>
        <v>43034</v>
      </c>
      <c r="G7" s="13">
        <f ca="1">IF(DAY(OctSun1)=1,OctSun1+26,OctSun1+33)</f>
        <v>43035</v>
      </c>
      <c r="H7" s="13">
        <f ca="1">IF(DAY(OctSun1)=1,OctSun1+27,OctSun1+34)</f>
        <v>43036</v>
      </c>
      <c r="I7" s="13">
        <f ca="1">IF(DAY(OctSun1)=1,OctSun1+28,OctSun1+35)</f>
        <v>43037</v>
      </c>
      <c r="J7" s="1"/>
      <c r="K7" s="38"/>
      <c r="L7" s="30"/>
    </row>
    <row r="8" spans="1:12" ht="30" customHeight="1" x14ac:dyDescent="0.25">
      <c r="A8" s="21"/>
      <c r="B8" s="29"/>
      <c r="C8" s="13">
        <f ca="1">IF(DAY(OctSun1)=1,OctSun1+29,OctSun1+36)</f>
        <v>43038</v>
      </c>
      <c r="D8" s="13">
        <f ca="1">IF(DAY(OctSun1)=1,OctSun1+30,OctSun1+37)</f>
        <v>43039</v>
      </c>
      <c r="E8" s="13">
        <f ca="1">IF(DAY(OctSun1)=1,OctSun1+31,OctSun1+38)</f>
        <v>43040</v>
      </c>
      <c r="F8" s="13">
        <f ca="1">IF(DAY(OctSun1)=1,OctSun1+32,OctSun1+39)</f>
        <v>43041</v>
      </c>
      <c r="G8" s="13">
        <f ca="1">IF(DAY(OctSun1)=1,OctSun1+33,OctSun1+40)</f>
        <v>43042</v>
      </c>
      <c r="H8" s="13">
        <f ca="1">IF(DAY(OctSun1)=1,OctSun1+34,OctSun1+41)</f>
        <v>43043</v>
      </c>
      <c r="I8" s="13">
        <f ca="1">IF(DAY(OctSun1)=1,OctSun1+35,OctSun1+42)</f>
        <v>43044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138"/>
      <c r="D12" s="138"/>
      <c r="E12" s="138" t="s">
        <v>9</v>
      </c>
      <c r="F12" s="138"/>
      <c r="G12" s="138"/>
      <c r="H12" s="138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138" t="s">
        <v>11</v>
      </c>
      <c r="D14" s="138"/>
      <c r="E14" s="138"/>
      <c r="F14" s="138"/>
      <c r="G14" s="138" t="s">
        <v>11</v>
      </c>
      <c r="H14" s="138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138"/>
      <c r="D16" s="138"/>
      <c r="E16" s="138" t="s">
        <v>13</v>
      </c>
      <c r="F16" s="138"/>
      <c r="G16" s="138"/>
      <c r="H16" s="138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138"/>
      <c r="D18" s="138"/>
      <c r="E18" s="138"/>
      <c r="F18" s="138"/>
      <c r="G18" s="138"/>
      <c r="H18" s="138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138"/>
      <c r="D20" s="138"/>
      <c r="E20" s="138"/>
      <c r="F20" s="138"/>
      <c r="G20" s="138"/>
      <c r="H20" s="138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138"/>
      <c r="D22" s="138"/>
      <c r="E22" s="138"/>
      <c r="F22" s="138"/>
      <c r="G22" s="138"/>
      <c r="H22" s="138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138"/>
      <c r="D24" s="138"/>
      <c r="E24" s="138" t="s">
        <v>15</v>
      </c>
      <c r="F24" s="138"/>
      <c r="G24" s="138"/>
      <c r="H24" s="138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138"/>
      <c r="D26" s="138"/>
      <c r="E26" s="138"/>
      <c r="F26" s="138"/>
      <c r="G26" s="138"/>
      <c r="H26" s="138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138" t="s">
        <v>17</v>
      </c>
      <c r="D28" s="138"/>
      <c r="E28" s="138"/>
      <c r="F28" s="138"/>
      <c r="G28" s="138" t="s">
        <v>17</v>
      </c>
      <c r="H28" s="138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138"/>
      <c r="D30" s="138"/>
      <c r="E30" s="138"/>
      <c r="F30" s="138"/>
      <c r="G30" s="138"/>
      <c r="H30" s="138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J31" s="18"/>
      <c r="K31" s="31"/>
      <c r="L31" s="22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22" priority="8" stopIfTrue="1">
      <formula>DAY(C3)&gt;8</formula>
    </cfRule>
  </conditionalFormatting>
  <conditionalFormatting sqref="C7:I8">
    <cfRule type="expression" dxfId="21" priority="7" stopIfTrue="1">
      <formula>AND(DAY(C7)&gt;=1,DAY(C7)&lt;=15)</formula>
    </cfRule>
  </conditionalFormatting>
  <conditionalFormatting sqref="C3:I8">
    <cfRule type="expression" dxfId="20" priority="9">
      <formula>VLOOKUP(DAY(C3),AssignmentDays,1,FALSE)=DAY(C3)</formula>
    </cfRule>
  </conditionalFormatting>
  <conditionalFormatting sqref="B13:I13 B15:I15 B17:I17 B19:I19 B21:I21 B23:I23 B25:I25 B27:I27 B29:I29 B31:I31">
    <cfRule type="expression" dxfId="19" priority="6">
      <formula>B13&lt;&gt;""</formula>
    </cfRule>
  </conditionalFormatting>
  <conditionalFormatting sqref="B12:I12 B14:I14 B16:I16 B18:I18 B20:I20 B22:I22 B24:I24 B26:I26 B28:I28 B30:I30">
    <cfRule type="expression" dxfId="18" priority="5">
      <formula>B12&lt;&gt;""</formula>
    </cfRule>
  </conditionalFormatting>
  <conditionalFormatting sqref="B13:I13 B15:I15 B17:I17 B19:I19 B21:I21 B23:I23 B25:I25 B27:I27 B29:I29">
    <cfRule type="expression" dxfId="17" priority="2">
      <formula>COLUMN(B13)&gt;=2</formula>
    </cfRule>
    <cfRule type="expression" dxfId="16" priority="4">
      <formula>COLUMN(B11)&gt;2</formula>
    </cfRule>
  </conditionalFormatting>
  <conditionalFormatting sqref="B31:I31">
    <cfRule type="expression" dxfId="15" priority="3">
      <formula>COLUMN(B12)&gt;2</formula>
    </cfRule>
  </conditionalFormatting>
  <conditionalFormatting sqref="B12:I31">
    <cfRule type="expression" dxfId="14" priority="1">
      <formula>COLUMN(B12)&gt;2</formula>
    </cfRule>
  </conditionalFormatting>
  <dataValidations count="13">
    <dataValidation allowBlank="1" showInputMessage="1" showErrorMessage="1" prompt="Octo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28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IF(DAY(NovSun1)=1,NovSun1-6,NovSun1+1)</f>
        <v>43038</v>
      </c>
      <c r="D3" s="13">
        <f ca="1">IF(DAY(NovSun1)=1,NovSun1-5,NovSun1+2)</f>
        <v>43039</v>
      </c>
      <c r="E3" s="13">
        <f ca="1">IF(DAY(NovSun1)=1,NovSun1-4,NovSun1+3)</f>
        <v>43040</v>
      </c>
      <c r="F3" s="13">
        <f ca="1">IF(DAY(NovSun1)=1,NovSun1-3,NovSun1+4)</f>
        <v>43041</v>
      </c>
      <c r="G3" s="13">
        <f ca="1">IF(DAY(NovSun1)=1,NovSun1-2,NovSun1+5)</f>
        <v>43042</v>
      </c>
      <c r="H3" s="13">
        <f ca="1">IF(DAY(NovSun1)=1,NovSun1-1,NovSun1+6)</f>
        <v>43043</v>
      </c>
      <c r="I3" s="13">
        <f ca="1">IF(DAY(NovSun1)=1,NovSun1,NovSun1+7)</f>
        <v>43044</v>
      </c>
      <c r="J3" s="18"/>
      <c r="K3" s="3"/>
      <c r="L3" s="10"/>
    </row>
    <row r="4" spans="1:12" ht="30" customHeight="1" x14ac:dyDescent="0.25">
      <c r="A4" s="21"/>
      <c r="C4" s="13">
        <f ca="1">IF(DAY(NovSun1)=1,NovSun1+1,NovSun1+8)</f>
        <v>43045</v>
      </c>
      <c r="D4" s="13">
        <f ca="1">IF(DAY(NovSun1)=1,NovSun1+2,NovSun1+9)</f>
        <v>43046</v>
      </c>
      <c r="E4" s="13">
        <f ca="1">IF(DAY(NovSun1)=1,NovSun1+3,NovSun1+10)</f>
        <v>43047</v>
      </c>
      <c r="F4" s="13">
        <f ca="1">IF(DAY(NovSun1)=1,NovSun1+4,NovSun1+11)</f>
        <v>43048</v>
      </c>
      <c r="G4" s="13">
        <f ca="1">IF(DAY(NovSun1)=1,NovSun1+5,NovSun1+12)</f>
        <v>43049</v>
      </c>
      <c r="H4" s="13">
        <f ca="1">IF(DAY(NovSun1)=1,NovSun1+6,NovSun1+13)</f>
        <v>43050</v>
      </c>
      <c r="I4" s="13">
        <f ca="1">IF(DAY(NovSun1)=1,NovSun1+7,NovSun1+14)</f>
        <v>43051</v>
      </c>
      <c r="J4" s="18"/>
      <c r="K4" s="3"/>
      <c r="L4" s="10"/>
    </row>
    <row r="5" spans="1:12" ht="30" customHeight="1" x14ac:dyDescent="0.25">
      <c r="A5" s="21"/>
      <c r="C5" s="13">
        <f ca="1">IF(DAY(NovSun1)=1,NovSun1+8,NovSun1+15)</f>
        <v>43052</v>
      </c>
      <c r="D5" s="13">
        <f ca="1">IF(DAY(NovSun1)=1,NovSun1+9,NovSun1+16)</f>
        <v>43053</v>
      </c>
      <c r="E5" s="13">
        <f ca="1">IF(DAY(NovSun1)=1,NovSun1+10,NovSun1+17)</f>
        <v>43054</v>
      </c>
      <c r="F5" s="13">
        <f ca="1">IF(DAY(NovSun1)=1,NovSun1+11,NovSun1+18)</f>
        <v>43055</v>
      </c>
      <c r="G5" s="13">
        <f ca="1">IF(DAY(NovSun1)=1,NovSun1+12,NovSun1+19)</f>
        <v>43056</v>
      </c>
      <c r="H5" s="13">
        <f ca="1">IF(DAY(NovSun1)=1,NovSun1+13,NovSun1+20)</f>
        <v>43057</v>
      </c>
      <c r="I5" s="13">
        <f ca="1">IF(DAY(NovSun1)=1,NovSun1+14,NovSun1+21)</f>
        <v>43058</v>
      </c>
      <c r="J5" s="18"/>
      <c r="K5" s="3"/>
      <c r="L5" s="10"/>
    </row>
    <row r="6" spans="1:12" ht="30" customHeight="1" x14ac:dyDescent="0.25">
      <c r="A6" s="21"/>
      <c r="C6" s="13">
        <f ca="1">IF(DAY(NovSun1)=1,NovSun1+15,NovSun1+22)</f>
        <v>43059</v>
      </c>
      <c r="D6" s="13">
        <f ca="1">IF(DAY(NovSun1)=1,NovSun1+16,NovSun1+23)</f>
        <v>43060</v>
      </c>
      <c r="E6" s="13">
        <f ca="1">IF(DAY(NovSun1)=1,NovSun1+17,NovSun1+24)</f>
        <v>43061</v>
      </c>
      <c r="F6" s="13">
        <f ca="1">IF(DAY(NovSun1)=1,NovSun1+18,NovSun1+25)</f>
        <v>43062</v>
      </c>
      <c r="G6" s="13">
        <f ca="1">IF(DAY(NovSun1)=1,NovSun1+19,NovSun1+26)</f>
        <v>43063</v>
      </c>
      <c r="H6" s="13">
        <f ca="1">IF(DAY(NovSun1)=1,NovSun1+20,NovSun1+27)</f>
        <v>43064</v>
      </c>
      <c r="I6" s="13">
        <f ca="1">IF(DAY(NovSun1)=1,NovSun1+21,NovSun1+28)</f>
        <v>43065</v>
      </c>
      <c r="J6" s="18"/>
      <c r="K6" s="3"/>
      <c r="L6" s="10"/>
    </row>
    <row r="7" spans="1:12" ht="30" customHeight="1" x14ac:dyDescent="0.25">
      <c r="A7" s="21"/>
      <c r="C7" s="13">
        <f ca="1">IF(DAY(NovSun1)=1,NovSun1+22,NovSun1+29)</f>
        <v>43066</v>
      </c>
      <c r="D7" s="13">
        <f ca="1">IF(DAY(NovSun1)=1,NovSun1+23,NovSun1+30)</f>
        <v>43067</v>
      </c>
      <c r="E7" s="13">
        <f ca="1">IF(DAY(NovSun1)=1,NovSun1+24,NovSun1+31)</f>
        <v>43068</v>
      </c>
      <c r="F7" s="13">
        <f ca="1">IF(DAY(NovSun1)=1,NovSun1+25,NovSun1+32)</f>
        <v>43069</v>
      </c>
      <c r="G7" s="13">
        <f ca="1">IF(DAY(NovSun1)=1,NovSun1+26,NovSun1+33)</f>
        <v>43070</v>
      </c>
      <c r="H7" s="13">
        <f ca="1">IF(DAY(NovSun1)=1,NovSun1+27,NovSun1+34)</f>
        <v>43071</v>
      </c>
      <c r="I7" s="13">
        <f ca="1">IF(DAY(NovSun1)=1,NovSun1+28,NovSun1+35)</f>
        <v>43072</v>
      </c>
      <c r="J7" s="1"/>
      <c r="K7" s="38"/>
      <c r="L7" s="30"/>
    </row>
    <row r="8" spans="1:12" ht="30" customHeight="1" x14ac:dyDescent="0.25">
      <c r="A8" s="21"/>
      <c r="B8" s="29"/>
      <c r="C8" s="13">
        <f ca="1">IF(DAY(NovSun1)=1,NovSun1+29,NovSun1+36)</f>
        <v>43073</v>
      </c>
      <c r="D8" s="13">
        <f ca="1">IF(DAY(NovSun1)=1,NovSun1+30,NovSun1+37)</f>
        <v>43074</v>
      </c>
      <c r="E8" s="13">
        <f ca="1">IF(DAY(NovSun1)=1,NovSun1+31,NovSun1+38)</f>
        <v>43075</v>
      </c>
      <c r="F8" s="13">
        <f ca="1">IF(DAY(NovSun1)=1,NovSun1+32,NovSun1+39)</f>
        <v>43076</v>
      </c>
      <c r="G8" s="13">
        <f ca="1">IF(DAY(NovSun1)=1,NovSun1+33,NovSun1+40)</f>
        <v>43077</v>
      </c>
      <c r="H8" s="13">
        <f ca="1">IF(DAY(NovSun1)=1,NovSun1+34,NovSun1+41)</f>
        <v>43078</v>
      </c>
      <c r="I8" s="13">
        <f ca="1">IF(DAY(NovSun1)=1,NovSun1+35,NovSun1+42)</f>
        <v>43079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J30" s="18"/>
      <c r="K30" s="3"/>
      <c r="L30" s="10"/>
    </row>
    <row r="31" spans="1:12" ht="30" customHeight="1" x14ac:dyDescent="0.25">
      <c r="A31" s="45" t="s">
        <v>39</v>
      </c>
      <c r="B31" s="55"/>
      <c r="C31" s="151"/>
      <c r="D31" s="151"/>
      <c r="E31" s="151"/>
      <c r="F31" s="151"/>
      <c r="G31" s="151"/>
      <c r="H31" s="151"/>
      <c r="I31" s="56"/>
      <c r="J31" s="18"/>
      <c r="K31" s="31"/>
      <c r="L31" s="22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13" priority="6" stopIfTrue="1">
      <formula>DAY(C3)&gt;8</formula>
    </cfRule>
  </conditionalFormatting>
  <conditionalFormatting sqref="C7:I8">
    <cfRule type="expression" dxfId="12" priority="5" stopIfTrue="1">
      <formula>AND(DAY(C7)&gt;=1,DAY(C7)&lt;=15)</formula>
    </cfRule>
  </conditionalFormatting>
  <conditionalFormatting sqref="C3:I8">
    <cfRule type="expression" dxfId="11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10" priority="4">
      <formula>B13&lt;&gt;""</formula>
    </cfRule>
  </conditionalFormatting>
  <conditionalFormatting sqref="B12:I12 B14:I14 B16:I16 B18:I18 B20:I20 B22:I22 B24:I24 B26:I26 B28:I28 B30:I30">
    <cfRule type="expression" dxfId="9" priority="3">
      <formula>B12&lt;&gt;""</formula>
    </cfRule>
  </conditionalFormatting>
  <conditionalFormatting sqref="B13:I13 B15:I15 B17:I17 B19:I19 B21:I21 B23:I23 B25:I25 B27:I27 B29:I29">
    <cfRule type="expression" dxfId="8" priority="2">
      <formula>COLUMN(B13)&gt;=2</formula>
    </cfRule>
  </conditionalFormatting>
  <conditionalFormatting sqref="B12:I31">
    <cfRule type="expression" dxfId="7" priority="1">
      <formula>COLUMN(B12)&gt;2</formula>
    </cfRule>
  </conditionalFormatting>
  <dataValidations xWindow="136" yWindow="382"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Nov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29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"/>
      <c r="L2" s="27"/>
    </row>
    <row r="3" spans="1:12" ht="30" customHeight="1" x14ac:dyDescent="0.25">
      <c r="A3" s="21"/>
      <c r="C3" s="13">
        <f ca="1">IF(DAY(DecSun1)=1,DecSun1-6,DecSun1+1)</f>
        <v>43066</v>
      </c>
      <c r="D3" s="13">
        <f ca="1">IF(DAY(DecSun1)=1,DecSun1-5,DecSun1+2)</f>
        <v>43067</v>
      </c>
      <c r="E3" s="13">
        <f ca="1">IF(DAY(DecSun1)=1,DecSun1-4,DecSun1+3)</f>
        <v>43068</v>
      </c>
      <c r="F3" s="13">
        <f ca="1">IF(DAY(DecSun1)=1,DecSun1-3,DecSun1+4)</f>
        <v>43069</v>
      </c>
      <c r="G3" s="13">
        <f ca="1">IF(DAY(DecSun1)=1,DecSun1-2,DecSun1+5)</f>
        <v>43070</v>
      </c>
      <c r="H3" s="13">
        <f ca="1">IF(DAY(DecSun1)=1,DecSun1-1,DecSun1+6)</f>
        <v>43071</v>
      </c>
      <c r="I3" s="13">
        <f ca="1">IF(DAY(DecSun1)=1,DecSun1,DecSun1+7)</f>
        <v>43072</v>
      </c>
      <c r="J3" s="18"/>
      <c r="K3" s="3"/>
      <c r="L3" s="27"/>
    </row>
    <row r="4" spans="1:12" ht="30" customHeight="1" x14ac:dyDescent="0.25">
      <c r="A4" s="21"/>
      <c r="C4" s="13">
        <f ca="1">IF(DAY(DecSun1)=1,DecSun1+1,DecSun1+8)</f>
        <v>43073</v>
      </c>
      <c r="D4" s="13">
        <f ca="1">IF(DAY(DecSun1)=1,DecSun1+2,DecSun1+9)</f>
        <v>43074</v>
      </c>
      <c r="E4" s="13">
        <f ca="1">IF(DAY(DecSun1)=1,DecSun1+3,DecSun1+10)</f>
        <v>43075</v>
      </c>
      <c r="F4" s="13">
        <f ca="1">IF(DAY(DecSun1)=1,DecSun1+4,DecSun1+11)</f>
        <v>43076</v>
      </c>
      <c r="G4" s="13">
        <f ca="1">IF(DAY(DecSun1)=1,DecSun1+5,DecSun1+12)</f>
        <v>43077</v>
      </c>
      <c r="H4" s="13">
        <f ca="1">IF(DAY(DecSun1)=1,DecSun1+6,DecSun1+13)</f>
        <v>43078</v>
      </c>
      <c r="I4" s="13">
        <f ca="1">IF(DAY(DecSun1)=1,DecSun1+7,DecSun1+14)</f>
        <v>43079</v>
      </c>
      <c r="J4" s="18"/>
      <c r="K4" s="3"/>
      <c r="L4" s="27"/>
    </row>
    <row r="5" spans="1:12" ht="30" customHeight="1" x14ac:dyDescent="0.25">
      <c r="A5" s="21"/>
      <c r="C5" s="13">
        <f ca="1">IF(DAY(DecSun1)=1,DecSun1+8,DecSun1+15)</f>
        <v>43080</v>
      </c>
      <c r="D5" s="13">
        <f ca="1">IF(DAY(DecSun1)=1,DecSun1+9,DecSun1+16)</f>
        <v>43081</v>
      </c>
      <c r="E5" s="13">
        <f ca="1">IF(DAY(DecSun1)=1,DecSun1+10,DecSun1+17)</f>
        <v>43082</v>
      </c>
      <c r="F5" s="13">
        <f ca="1">IF(DAY(DecSun1)=1,DecSun1+11,DecSun1+18)</f>
        <v>43083</v>
      </c>
      <c r="G5" s="13">
        <f ca="1">IF(DAY(DecSun1)=1,DecSun1+12,DecSun1+19)</f>
        <v>43084</v>
      </c>
      <c r="H5" s="13">
        <f ca="1">IF(DAY(DecSun1)=1,DecSun1+13,DecSun1+20)</f>
        <v>43085</v>
      </c>
      <c r="I5" s="13">
        <f ca="1">IF(DAY(DecSun1)=1,DecSun1+14,DecSun1+21)</f>
        <v>43086</v>
      </c>
      <c r="J5" s="18"/>
      <c r="K5" s="3"/>
      <c r="L5" s="27"/>
    </row>
    <row r="6" spans="1:12" ht="30" customHeight="1" x14ac:dyDescent="0.25">
      <c r="A6" s="21"/>
      <c r="C6" s="13">
        <f ca="1">IF(DAY(DecSun1)=1,DecSun1+15,DecSun1+22)</f>
        <v>43087</v>
      </c>
      <c r="D6" s="13">
        <f ca="1">IF(DAY(DecSun1)=1,DecSun1+16,DecSun1+23)</f>
        <v>43088</v>
      </c>
      <c r="E6" s="13">
        <f ca="1">IF(DAY(DecSun1)=1,DecSun1+17,DecSun1+24)</f>
        <v>43089</v>
      </c>
      <c r="F6" s="13">
        <f ca="1">IF(DAY(DecSun1)=1,DecSun1+18,DecSun1+25)</f>
        <v>43090</v>
      </c>
      <c r="G6" s="13">
        <f ca="1">IF(DAY(DecSun1)=1,DecSun1+19,DecSun1+26)</f>
        <v>43091</v>
      </c>
      <c r="H6" s="13">
        <f ca="1">IF(DAY(DecSun1)=1,DecSun1+20,DecSun1+27)</f>
        <v>43092</v>
      </c>
      <c r="I6" s="13">
        <f ca="1">IF(DAY(DecSun1)=1,DecSun1+21,DecSun1+28)</f>
        <v>43093</v>
      </c>
      <c r="J6" s="18"/>
      <c r="K6" s="3"/>
      <c r="L6" s="27"/>
    </row>
    <row r="7" spans="1:12" ht="30" customHeight="1" x14ac:dyDescent="0.25">
      <c r="A7" s="21"/>
      <c r="C7" s="13">
        <f ca="1">IF(DAY(DecSun1)=1,DecSun1+22,DecSun1+29)</f>
        <v>43094</v>
      </c>
      <c r="D7" s="13">
        <f ca="1">IF(DAY(DecSun1)=1,DecSun1+23,DecSun1+30)</f>
        <v>43095</v>
      </c>
      <c r="E7" s="13">
        <f ca="1">IF(DAY(DecSun1)=1,DecSun1+24,DecSun1+31)</f>
        <v>43096</v>
      </c>
      <c r="F7" s="13">
        <f ca="1">IF(DAY(DecSun1)=1,DecSun1+25,DecSun1+32)</f>
        <v>43097</v>
      </c>
      <c r="G7" s="13">
        <f ca="1">IF(DAY(DecSun1)=1,DecSun1+26,DecSun1+33)</f>
        <v>43098</v>
      </c>
      <c r="H7" s="13">
        <f ca="1">IF(DAY(DecSun1)=1,DecSun1+27,DecSun1+34)</f>
        <v>43099</v>
      </c>
      <c r="I7" s="13">
        <f ca="1">IF(DAY(DecSun1)=1,DecSun1+28,DecSun1+35)</f>
        <v>43100</v>
      </c>
      <c r="J7" s="33"/>
      <c r="K7" s="31"/>
      <c r="L7" s="29"/>
    </row>
    <row r="8" spans="1:12" ht="30" customHeight="1" x14ac:dyDescent="0.25">
      <c r="A8" s="21"/>
      <c r="B8" s="29"/>
      <c r="C8" s="13">
        <f ca="1">IF(DAY(DecSun1)=1,DecSun1+29,DecSun1+36)</f>
        <v>43101</v>
      </c>
      <c r="D8" s="13">
        <f ca="1">IF(DAY(DecSun1)=1,DecSun1+30,DecSun1+37)</f>
        <v>43102</v>
      </c>
      <c r="E8" s="13">
        <f ca="1">IF(DAY(DecSun1)=1,DecSun1+31,DecSun1+38)</f>
        <v>43103</v>
      </c>
      <c r="F8" s="13">
        <f ca="1">IF(DAY(DecSun1)=1,DecSun1+32,DecSun1+39)</f>
        <v>43104</v>
      </c>
      <c r="G8" s="13">
        <f ca="1">IF(DAY(DecSun1)=1,DecSun1+33,DecSun1+40)</f>
        <v>43105</v>
      </c>
      <c r="H8" s="13">
        <f ca="1">IF(DAY(DecSun1)=1,DecSun1+34,DecSun1+41)</f>
        <v>43106</v>
      </c>
      <c r="I8" s="13">
        <f ca="1">IF(DAY(DecSun1)=1,DecSun1+35,DecSun1+42)</f>
        <v>43107</v>
      </c>
      <c r="J8" s="18" t="s">
        <v>30</v>
      </c>
      <c r="K8" s="3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 t="s">
        <v>6</v>
      </c>
      <c r="K14" s="3"/>
      <c r="L14" s="27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36"/>
      <c r="J20" s="18" t="s">
        <v>31</v>
      </c>
      <c r="K20" s="3"/>
      <c r="L20" s="27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 t="s">
        <v>8</v>
      </c>
      <c r="K26" s="3"/>
      <c r="L26" s="27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J30" s="18"/>
      <c r="K30" s="3"/>
      <c r="L30" s="27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J31" s="33"/>
      <c r="K31" s="31"/>
      <c r="L31" s="29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6" priority="6" stopIfTrue="1">
      <formula>DAY(C3)&gt;8</formula>
    </cfRule>
  </conditionalFormatting>
  <conditionalFormatting sqref="C7:I8">
    <cfRule type="expression" dxfId="5" priority="5" stopIfTrue="1">
      <formula>AND(DAY(C7)&gt;=1,DAY(C7)&lt;=15)</formula>
    </cfRule>
  </conditionalFormatting>
  <conditionalFormatting sqref="C3:I8">
    <cfRule type="expression" dxfId="4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3" priority="4">
      <formula>B13&lt;&gt;""</formula>
    </cfRule>
  </conditionalFormatting>
  <conditionalFormatting sqref="B12:I12 B14:I14 B16:I16 B18:I18 B20:I20 B22:I22 B24:I24 B26:I26 B28:I28 B30:I30">
    <cfRule type="expression" dxfId="2" priority="3">
      <formula>B12&lt;&gt;""</formula>
    </cfRule>
  </conditionalFormatting>
  <conditionalFormatting sqref="B13:I13 B15:I15 B17:I17 B19:I19 B21:I21 B23:I23 B25:I25 B27:I27 B29:I29">
    <cfRule type="expression" dxfId="1" priority="2">
      <formula>COLUMN(B13)&gt;=2</formula>
    </cfRule>
  </conditionalFormatting>
  <conditionalFormatting sqref="B12:I31">
    <cfRule type="expression" dxfId="0" priority="1">
      <formula>COLUMN(B12)&gt;2</formula>
    </cfRule>
  </conditionalFormatting>
  <dataValidations xWindow="282" yWindow="695" count="13">
    <dataValidation allowBlank="1" showInputMessage="1" showErrorMessage="1" prompt="Decem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" customWidth="1"/>
    <col min="11" max="11" width="10.625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1" t="s">
        <v>19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27"/>
    </row>
    <row r="3" spans="1:12" ht="30" customHeight="1" x14ac:dyDescent="0.25">
      <c r="A3" s="21"/>
      <c r="C3" s="13">
        <f ca="1">IF(DAY(FebSun1)=1,FebSun1-6,FebSun1+1)</f>
        <v>42765</v>
      </c>
      <c r="D3" s="13">
        <f ca="1">IF(DAY(FebSun1)=1,FebSun1-5,FebSun1+2)</f>
        <v>42766</v>
      </c>
      <c r="E3" s="13">
        <f ca="1">IF(DAY(FebSun1)=1,FebSun1-4,FebSun1+3)</f>
        <v>42767</v>
      </c>
      <c r="F3" s="13">
        <f ca="1">IF(DAY(FebSun1)=1,FebSun1-3,FebSun1+4)</f>
        <v>42768</v>
      </c>
      <c r="G3" s="13">
        <f ca="1">IF(DAY(FebSun1)=1,FebSun1-2,FebSun1+5)</f>
        <v>42769</v>
      </c>
      <c r="H3" s="13">
        <f ca="1">IF(DAY(FebSun1)=1,FebSun1-1,FebSun1+6)</f>
        <v>42770</v>
      </c>
      <c r="I3" s="13">
        <f ca="1">IF(DAY(FebSun1)=1,FebSun1,FebSun1+7)</f>
        <v>42771</v>
      </c>
      <c r="J3" s="18"/>
      <c r="K3" s="3"/>
      <c r="L3" s="27"/>
    </row>
    <row r="4" spans="1:12" ht="30" customHeight="1" x14ac:dyDescent="0.25">
      <c r="A4" s="21"/>
      <c r="C4" s="13">
        <f ca="1">IF(DAY(FebSun1)=1,FebSun1+1,FebSun1+8)</f>
        <v>42772</v>
      </c>
      <c r="D4" s="13">
        <f ca="1">IF(DAY(FebSun1)=1,FebSun1+2,FebSun1+9)</f>
        <v>42773</v>
      </c>
      <c r="E4" s="13">
        <f ca="1">IF(DAY(FebSun1)=1,FebSun1+3,FebSun1+10)</f>
        <v>42774</v>
      </c>
      <c r="F4" s="13">
        <f ca="1">IF(DAY(FebSun1)=1,FebSun1+4,FebSun1+11)</f>
        <v>42775</v>
      </c>
      <c r="G4" s="13">
        <f ca="1">IF(DAY(FebSun1)=1,FebSun1+5,FebSun1+12)</f>
        <v>42776</v>
      </c>
      <c r="H4" s="13">
        <f ca="1">IF(DAY(FebSun1)=1,FebSun1+6,FebSun1+13)</f>
        <v>42777</v>
      </c>
      <c r="I4" s="13">
        <f ca="1">IF(DAY(FebSun1)=1,FebSun1+7,FebSun1+14)</f>
        <v>42778</v>
      </c>
      <c r="J4" s="18"/>
      <c r="K4" s="3"/>
      <c r="L4" s="27"/>
    </row>
    <row r="5" spans="1:12" ht="30" customHeight="1" x14ac:dyDescent="0.25">
      <c r="A5" s="21"/>
      <c r="C5" s="13">
        <f ca="1">IF(DAY(FebSun1)=1,FebSun1+8,FebSun1+15)</f>
        <v>42779</v>
      </c>
      <c r="D5" s="13">
        <f ca="1">IF(DAY(FebSun1)=1,FebSun1+9,FebSun1+16)</f>
        <v>42780</v>
      </c>
      <c r="E5" s="13">
        <f ca="1">IF(DAY(FebSun1)=1,FebSun1+10,FebSun1+17)</f>
        <v>42781</v>
      </c>
      <c r="F5" s="13">
        <f ca="1">IF(DAY(FebSun1)=1,FebSun1+11,FebSun1+18)</f>
        <v>42782</v>
      </c>
      <c r="G5" s="13">
        <f ca="1">IF(DAY(FebSun1)=1,FebSun1+12,FebSun1+19)</f>
        <v>42783</v>
      </c>
      <c r="H5" s="13">
        <f ca="1">IF(DAY(FebSun1)=1,FebSun1+13,FebSun1+20)</f>
        <v>42784</v>
      </c>
      <c r="I5" s="13">
        <f ca="1">IF(DAY(FebSun1)=1,FebSun1+14,FebSun1+21)</f>
        <v>42785</v>
      </c>
      <c r="J5" s="18"/>
      <c r="K5" s="3"/>
      <c r="L5" s="27"/>
    </row>
    <row r="6" spans="1:12" ht="30" customHeight="1" x14ac:dyDescent="0.25">
      <c r="A6" s="21"/>
      <c r="C6" s="13">
        <f ca="1">IF(DAY(FebSun1)=1,FebSun1+15,FebSun1+22)</f>
        <v>42786</v>
      </c>
      <c r="D6" s="13">
        <f ca="1">IF(DAY(FebSun1)=1,FebSun1+16,FebSun1+23)</f>
        <v>42787</v>
      </c>
      <c r="E6" s="13">
        <f ca="1">IF(DAY(FebSun1)=1,FebSun1+17,FebSun1+24)</f>
        <v>42788</v>
      </c>
      <c r="F6" s="13">
        <f ca="1">IF(DAY(FebSun1)=1,FebSun1+18,FebSun1+25)</f>
        <v>42789</v>
      </c>
      <c r="G6" s="13">
        <f ca="1">IF(DAY(FebSun1)=1,FebSun1+19,FebSun1+26)</f>
        <v>42790</v>
      </c>
      <c r="H6" s="13">
        <f ca="1">IF(DAY(FebSun1)=1,FebSun1+20,FebSun1+27)</f>
        <v>42791</v>
      </c>
      <c r="I6" s="13">
        <f ca="1">IF(DAY(FebSun1)=1,FebSun1+21,FebSun1+28)</f>
        <v>42792</v>
      </c>
      <c r="J6" s="18"/>
      <c r="K6" s="3"/>
      <c r="L6" s="27"/>
    </row>
    <row r="7" spans="1:12" ht="30" customHeight="1" x14ac:dyDescent="0.25">
      <c r="A7" s="21"/>
      <c r="C7" s="13">
        <f ca="1">IF(DAY(FebSun1)=1,FebSun1+22,FebSun1+29)</f>
        <v>42793</v>
      </c>
      <c r="D7" s="13">
        <f ca="1">IF(DAY(FebSun1)=1,FebSun1+23,FebSun1+30)</f>
        <v>42794</v>
      </c>
      <c r="E7" s="13">
        <f ca="1">IF(DAY(FebSun1)=1,FebSun1+24,FebSun1+31)</f>
        <v>42795</v>
      </c>
      <c r="F7" s="13">
        <f ca="1">IF(DAY(FebSun1)=1,FebSun1+25,FebSun1+32)</f>
        <v>42796</v>
      </c>
      <c r="G7" s="13">
        <f ca="1">IF(DAY(FebSun1)=1,FebSun1+26,FebSun1+33)</f>
        <v>42797</v>
      </c>
      <c r="H7" s="13">
        <f ca="1">IF(DAY(FebSun1)=1,FebSun1+27,FebSun1+34)</f>
        <v>42798</v>
      </c>
      <c r="I7" s="13">
        <f ca="1">IF(DAY(FebSun1)=1,FebSun1+28,FebSun1+35)</f>
        <v>42799</v>
      </c>
      <c r="J7" s="33"/>
      <c r="K7" s="31"/>
      <c r="L7" s="29"/>
    </row>
    <row r="8" spans="1:12" ht="30" customHeight="1" x14ac:dyDescent="0.25">
      <c r="A8" s="21"/>
      <c r="B8" s="29"/>
      <c r="C8" s="13">
        <f ca="1">IF(DAY(FebSun1)=1,FebSun1+29,FebSun1+36)</f>
        <v>42800</v>
      </c>
      <c r="D8" s="13">
        <f ca="1">IF(DAY(FebSun1)=1,FebSun1+30,FebSun1+37)</f>
        <v>42801</v>
      </c>
      <c r="E8" s="13">
        <f ca="1">IF(DAY(FebSun1)=1,FebSun1+31,FebSun1+38)</f>
        <v>42802</v>
      </c>
      <c r="F8" s="13">
        <f ca="1">IF(DAY(FebSun1)=1,FebSun1+32,FebSun1+39)</f>
        <v>42803</v>
      </c>
      <c r="G8" s="13">
        <f ca="1">IF(DAY(FebSun1)=1,FebSun1+33,FebSun1+40)</f>
        <v>42804</v>
      </c>
      <c r="H8" s="13">
        <f ca="1">IF(DAY(FebSun1)=1,FebSun1+34,FebSun1+41)</f>
        <v>42805</v>
      </c>
      <c r="I8" s="13">
        <f ca="1">IF(DAY(FebSun1)=1,FebSun1+35,FebSun1+42)</f>
        <v>42806</v>
      </c>
      <c r="J8" s="18" t="s">
        <v>30</v>
      </c>
      <c r="K8" s="34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138" t="s">
        <v>11</v>
      </c>
      <c r="D14" s="138"/>
      <c r="E14" s="138"/>
      <c r="F14" s="138"/>
      <c r="G14" s="138" t="s">
        <v>11</v>
      </c>
      <c r="H14" s="138"/>
      <c r="I14" s="36"/>
      <c r="J14" s="18" t="s">
        <v>6</v>
      </c>
      <c r="K14" s="34"/>
      <c r="L14" s="27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138"/>
      <c r="D16" s="138"/>
      <c r="E16" s="138" t="s">
        <v>13</v>
      </c>
      <c r="F16" s="138"/>
      <c r="G16" s="138"/>
      <c r="H16" s="138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138"/>
      <c r="D18" s="138"/>
      <c r="E18" s="138"/>
      <c r="F18" s="138"/>
      <c r="G18" s="138"/>
      <c r="H18" s="138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138"/>
      <c r="D20" s="138"/>
      <c r="E20" s="138"/>
      <c r="F20" s="138"/>
      <c r="G20" s="138"/>
      <c r="H20" s="138"/>
      <c r="I20" s="36"/>
      <c r="J20" s="18" t="s">
        <v>31</v>
      </c>
      <c r="K20" s="34"/>
      <c r="L20" s="27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138"/>
      <c r="D22" s="138"/>
      <c r="E22" s="138"/>
      <c r="F22" s="138"/>
      <c r="G22" s="138"/>
      <c r="H22" s="138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138"/>
      <c r="D24" s="138"/>
      <c r="E24" s="138" t="s">
        <v>15</v>
      </c>
      <c r="F24" s="138"/>
      <c r="G24" s="138"/>
      <c r="H24" s="138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138"/>
      <c r="D26" s="138"/>
      <c r="E26" s="138"/>
      <c r="F26" s="138"/>
      <c r="G26" s="138"/>
      <c r="H26" s="138"/>
      <c r="I26" s="36"/>
      <c r="J26" s="18" t="s">
        <v>8</v>
      </c>
      <c r="K26" s="34"/>
      <c r="L26" s="27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138" t="s">
        <v>17</v>
      </c>
      <c r="D28" s="138"/>
      <c r="E28" s="138"/>
      <c r="F28" s="138"/>
      <c r="G28" s="138" t="s">
        <v>17</v>
      </c>
      <c r="H28" s="138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138"/>
      <c r="D30" s="138"/>
      <c r="E30" s="138"/>
      <c r="F30" s="138"/>
      <c r="G30" s="138"/>
      <c r="H30" s="138"/>
      <c r="I30" s="36"/>
      <c r="J30" s="18"/>
      <c r="K30" s="3"/>
      <c r="L30" s="27"/>
    </row>
    <row r="31" spans="1:12" ht="30" customHeight="1" x14ac:dyDescent="0.25">
      <c r="A31" s="45" t="s">
        <v>39</v>
      </c>
      <c r="B31" s="54"/>
      <c r="C31" s="139"/>
      <c r="D31" s="139"/>
      <c r="E31" s="139"/>
      <c r="F31" s="139"/>
      <c r="G31" s="139"/>
      <c r="H31" s="139"/>
      <c r="I31" s="50"/>
      <c r="J31" s="18"/>
      <c r="K31" s="31"/>
      <c r="L31" s="27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6:D16"/>
    <mergeCell ref="E16:F16"/>
    <mergeCell ref="G16:H16"/>
    <mergeCell ref="C14:D14"/>
    <mergeCell ref="E14:F14"/>
    <mergeCell ref="G14:H14"/>
    <mergeCell ref="C15:D15"/>
    <mergeCell ref="E15:F15"/>
    <mergeCell ref="G15:H15"/>
    <mergeCell ref="C17:D17"/>
    <mergeCell ref="E17:F17"/>
    <mergeCell ref="G17:H17"/>
    <mergeCell ref="C18:D18"/>
    <mergeCell ref="E18:F18"/>
    <mergeCell ref="G18:H18"/>
    <mergeCell ref="C21:D21"/>
    <mergeCell ref="E21:F21"/>
    <mergeCell ref="G21:H21"/>
    <mergeCell ref="C19:D19"/>
    <mergeCell ref="E19:F19"/>
    <mergeCell ref="G19:H19"/>
    <mergeCell ref="C20:D20"/>
    <mergeCell ref="E20:F20"/>
    <mergeCell ref="G20:H20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8:D28"/>
    <mergeCell ref="E28:F28"/>
    <mergeCell ref="G28:H28"/>
    <mergeCell ref="C26:D26"/>
    <mergeCell ref="E26:F26"/>
    <mergeCell ref="G26:H26"/>
    <mergeCell ref="C27:D27"/>
    <mergeCell ref="E27:F27"/>
    <mergeCell ref="G27:H27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102" priority="9" stopIfTrue="1">
      <formula>DAY(C3)&gt;8</formula>
    </cfRule>
  </conditionalFormatting>
  <conditionalFormatting sqref="C7:I8">
    <cfRule type="expression" dxfId="101" priority="8" stopIfTrue="1">
      <formula>AND(DAY(C7)&gt;=1,DAY(C7)&lt;=15)</formula>
    </cfRule>
  </conditionalFormatting>
  <conditionalFormatting sqref="C3:I8">
    <cfRule type="expression" dxfId="100" priority="10">
      <formula>VLOOKUP(DAY(C3),AssignmentDays,1,FALSE)=DAY(C3)</formula>
    </cfRule>
  </conditionalFormatting>
  <conditionalFormatting sqref="B13:I13 B15:I15 B17:I17 B19:I19 B21:I21 B23:I23 B25:I25 B27:I27 B29:I29 B31:I31">
    <cfRule type="expression" dxfId="99" priority="7">
      <formula>B13&lt;&gt;""</formula>
    </cfRule>
  </conditionalFormatting>
  <conditionalFormatting sqref="B12:I12 B14:I14 B16:I16 B18:I18 B20:I20 B22:I22 B24:I24 B26:I26 B28:I28 B30:I30">
    <cfRule type="expression" dxfId="98" priority="6">
      <formula>B12&lt;&gt;""</formula>
    </cfRule>
  </conditionalFormatting>
  <conditionalFormatting sqref="B13:I13 B15:I15 B17:I17 B19:I19 B21:I21 B23:I23 B25:I25 B27:I27 B29:I29">
    <cfRule type="expression" dxfId="97" priority="4">
      <formula>COLUMN(B12)&gt;=2</formula>
    </cfRule>
  </conditionalFormatting>
  <conditionalFormatting sqref="B12:I31">
    <cfRule type="expression" dxfId="96" priority="1">
      <formula>COLUMN(B12)&gt;2</formula>
    </cfRule>
  </conditionalFormatting>
  <dataValidations xWindow="95" yWindow="532" count="13">
    <dataValidation allowBlank="1" showInputMessage="1" showErrorMessage="1" prompt="February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20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IF(DAY(MarSun1)=1,MarSun1-6,MarSun1+1)</f>
        <v>42793</v>
      </c>
      <c r="D3" s="13">
        <f ca="1">IF(DAY(MarSun1)=1,MarSun1-5,MarSun1+2)</f>
        <v>42794</v>
      </c>
      <c r="E3" s="13">
        <f ca="1">IF(DAY(MarSun1)=1,MarSun1-4,MarSun1+3)</f>
        <v>42795</v>
      </c>
      <c r="F3" s="13">
        <f ca="1">IF(DAY(MarSun1)=1,MarSun1-3,MarSun1+4)</f>
        <v>42796</v>
      </c>
      <c r="G3" s="13">
        <f ca="1">IF(DAY(MarSun1)=1,MarSun1-2,MarSun1+5)</f>
        <v>42797</v>
      </c>
      <c r="H3" s="13">
        <f ca="1">IF(DAY(MarSun1)=1,MarSun1-1,MarSun1+6)</f>
        <v>42798</v>
      </c>
      <c r="I3" s="13">
        <f ca="1">IF(DAY(MarSun1)=1,MarSun1,MarSun1+7)</f>
        <v>42799</v>
      </c>
      <c r="J3" s="18"/>
      <c r="K3" s="3"/>
      <c r="L3" s="10"/>
    </row>
    <row r="4" spans="1:12" ht="30" customHeight="1" x14ac:dyDescent="0.25">
      <c r="A4" s="21"/>
      <c r="C4" s="13">
        <f ca="1">IF(DAY(MarSun1)=1,MarSun1+1,MarSun1+8)</f>
        <v>42800</v>
      </c>
      <c r="D4" s="13">
        <f ca="1">IF(DAY(MarSun1)=1,MarSun1+2,MarSun1+9)</f>
        <v>42801</v>
      </c>
      <c r="E4" s="13">
        <f ca="1">IF(DAY(MarSun1)=1,MarSun1+3,MarSun1+10)</f>
        <v>42802</v>
      </c>
      <c r="F4" s="13">
        <f ca="1">IF(DAY(MarSun1)=1,MarSun1+4,MarSun1+11)</f>
        <v>42803</v>
      </c>
      <c r="G4" s="13">
        <f ca="1">IF(DAY(MarSun1)=1,MarSun1+5,MarSun1+12)</f>
        <v>42804</v>
      </c>
      <c r="H4" s="13">
        <f ca="1">IF(DAY(MarSun1)=1,MarSun1+6,MarSun1+13)</f>
        <v>42805</v>
      </c>
      <c r="I4" s="13">
        <f ca="1">IF(DAY(MarSun1)=1,MarSun1+7,MarSun1+14)</f>
        <v>42806</v>
      </c>
      <c r="J4" s="18"/>
      <c r="K4" s="3"/>
      <c r="L4" s="10"/>
    </row>
    <row r="5" spans="1:12" ht="30" customHeight="1" x14ac:dyDescent="0.25">
      <c r="A5" s="21"/>
      <c r="C5" s="13">
        <f ca="1">IF(DAY(MarSun1)=1,MarSun1+8,MarSun1+15)</f>
        <v>42807</v>
      </c>
      <c r="D5" s="13">
        <f ca="1">IF(DAY(MarSun1)=1,MarSun1+9,MarSun1+16)</f>
        <v>42808</v>
      </c>
      <c r="E5" s="13">
        <f ca="1">IF(DAY(MarSun1)=1,MarSun1+10,MarSun1+17)</f>
        <v>42809</v>
      </c>
      <c r="F5" s="13">
        <f ca="1">IF(DAY(MarSun1)=1,MarSun1+11,MarSun1+18)</f>
        <v>42810</v>
      </c>
      <c r="G5" s="13">
        <f ca="1">IF(DAY(MarSun1)=1,MarSun1+12,MarSun1+19)</f>
        <v>42811</v>
      </c>
      <c r="H5" s="13">
        <f ca="1">IF(DAY(MarSun1)=1,MarSun1+13,MarSun1+20)</f>
        <v>42812</v>
      </c>
      <c r="I5" s="13">
        <f ca="1">IF(DAY(MarSun1)=1,MarSun1+14,MarSun1+21)</f>
        <v>42813</v>
      </c>
      <c r="J5" s="18"/>
      <c r="K5" s="3"/>
      <c r="L5" s="10"/>
    </row>
    <row r="6" spans="1:12" ht="30" customHeight="1" x14ac:dyDescent="0.25">
      <c r="A6" s="21"/>
      <c r="C6" s="13">
        <f ca="1">IF(DAY(MarSun1)=1,MarSun1+15,MarSun1+22)</f>
        <v>42814</v>
      </c>
      <c r="D6" s="13">
        <f ca="1">IF(DAY(MarSun1)=1,MarSun1+16,MarSun1+23)</f>
        <v>42815</v>
      </c>
      <c r="E6" s="13">
        <f ca="1">IF(DAY(MarSun1)=1,MarSun1+17,MarSun1+24)</f>
        <v>42816</v>
      </c>
      <c r="F6" s="13">
        <f ca="1">IF(DAY(MarSun1)=1,MarSun1+18,MarSun1+25)</f>
        <v>42817</v>
      </c>
      <c r="G6" s="13">
        <f ca="1">IF(DAY(MarSun1)=1,MarSun1+19,MarSun1+26)</f>
        <v>42818</v>
      </c>
      <c r="H6" s="13">
        <f ca="1">IF(DAY(MarSun1)=1,MarSun1+20,MarSun1+27)</f>
        <v>42819</v>
      </c>
      <c r="I6" s="13">
        <f ca="1">IF(DAY(MarSun1)=1,MarSun1+21,MarSun1+28)</f>
        <v>42820</v>
      </c>
      <c r="J6" s="18"/>
      <c r="K6" s="3"/>
      <c r="L6" s="10"/>
    </row>
    <row r="7" spans="1:12" ht="30" customHeight="1" x14ac:dyDescent="0.25">
      <c r="A7" s="21"/>
      <c r="C7" s="13">
        <f ca="1">IF(DAY(MarSun1)=1,MarSun1+22,MarSun1+29)</f>
        <v>42821</v>
      </c>
      <c r="D7" s="13">
        <f ca="1">IF(DAY(MarSun1)=1,MarSun1+23,MarSun1+30)</f>
        <v>42822</v>
      </c>
      <c r="E7" s="13">
        <f ca="1">IF(DAY(MarSun1)=1,MarSun1+24,MarSun1+31)</f>
        <v>42823</v>
      </c>
      <c r="F7" s="13">
        <f ca="1">IF(DAY(MarSun1)=1,MarSun1+25,MarSun1+32)</f>
        <v>42824</v>
      </c>
      <c r="G7" s="13">
        <f ca="1">IF(DAY(MarSun1)=1,MarSun1+26,MarSun1+33)</f>
        <v>42825</v>
      </c>
      <c r="H7" s="13">
        <f ca="1">IF(DAY(MarSun1)=1,MarSun1+27,MarSun1+34)</f>
        <v>42826</v>
      </c>
      <c r="I7" s="13">
        <f ca="1">IF(DAY(MarSun1)=1,MarSun1+28,MarSun1+35)</f>
        <v>42827</v>
      </c>
      <c r="J7" s="1"/>
      <c r="K7" s="38"/>
      <c r="L7" s="30"/>
    </row>
    <row r="8" spans="1:12" ht="30" customHeight="1" x14ac:dyDescent="0.25">
      <c r="A8" s="21"/>
      <c r="B8" s="29"/>
      <c r="C8" s="13">
        <f ca="1">IF(DAY(MarSun1)=1,MarSun1+29,MarSun1+36)</f>
        <v>42828</v>
      </c>
      <c r="D8" s="13">
        <f ca="1">IF(DAY(MarSun1)=1,MarSun1+30,MarSun1+37)</f>
        <v>42829</v>
      </c>
      <c r="E8" s="13">
        <f ca="1">IF(DAY(MarSun1)=1,MarSun1+31,MarSun1+38)</f>
        <v>42830</v>
      </c>
      <c r="F8" s="13">
        <f ca="1">IF(DAY(MarSun1)=1,MarSun1+32,MarSun1+39)</f>
        <v>42831</v>
      </c>
      <c r="G8" s="13">
        <f ca="1">IF(DAY(MarSun1)=1,MarSun1+33,MarSun1+40)</f>
        <v>42832</v>
      </c>
      <c r="H8" s="13">
        <f ca="1">IF(DAY(MarSun1)=1,MarSun1+34,MarSun1+41)</f>
        <v>42833</v>
      </c>
      <c r="I8" s="13">
        <f ca="1">IF(DAY(MarSun1)=1,MarSun1+35,MarSun1+42)</f>
        <v>42834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J31" s="18"/>
      <c r="K31" s="31"/>
      <c r="L31" s="22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95" priority="6" stopIfTrue="1">
      <formula>DAY(C3)&gt;8</formula>
    </cfRule>
  </conditionalFormatting>
  <conditionalFormatting sqref="C7:I8">
    <cfRule type="expression" dxfId="94" priority="5" stopIfTrue="1">
      <formula>AND(DAY(C7)&gt;=1,DAY(C7)&lt;=15)</formula>
    </cfRule>
  </conditionalFormatting>
  <conditionalFormatting sqref="C3:I8">
    <cfRule type="expression" dxfId="93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92" priority="4">
      <formula>B13&lt;&gt;""</formula>
    </cfRule>
  </conditionalFormatting>
  <conditionalFormatting sqref="B12:I12 B14:I14 B16:I16 B18:I18 B20:I20 B22:I22 B24:I24 B26:I26 B28:I28 B30:I30">
    <cfRule type="expression" dxfId="91" priority="3">
      <formula>B12&lt;&gt;""</formula>
    </cfRule>
  </conditionalFormatting>
  <conditionalFormatting sqref="B13:I13 B15:I15 B17:I17 B19:I19 B21:I21 B23:I23 B25:I25 B27:I27 B29:I29">
    <cfRule type="expression" dxfId="90" priority="2">
      <formula>COLUMN(B12)&gt;=2</formula>
    </cfRule>
  </conditionalFormatting>
  <conditionalFormatting sqref="B12:I31">
    <cfRule type="expression" dxfId="89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rch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5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18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21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IF(DAY(AprSun1)=1,AprSun1-6,AprSun1+1)</f>
        <v>42821</v>
      </c>
      <c r="D3" s="13">
        <f ca="1">IF(DAY(AprSun1)=1,AprSun1-5,AprSun1+2)</f>
        <v>42822</v>
      </c>
      <c r="E3" s="13">
        <f ca="1">IF(DAY(AprSun1)=1,AprSun1-4,AprSun1+3)</f>
        <v>42823</v>
      </c>
      <c r="F3" s="13">
        <f ca="1">IF(DAY(AprSun1)=1,AprSun1-3,AprSun1+4)</f>
        <v>42824</v>
      </c>
      <c r="G3" s="13">
        <f ca="1">IF(DAY(AprSun1)=1,AprSun1-2,AprSun1+5)</f>
        <v>42825</v>
      </c>
      <c r="H3" s="13">
        <f ca="1">IF(DAY(AprSun1)=1,AprSun1-1,AprSun1+6)</f>
        <v>42826</v>
      </c>
      <c r="I3" s="13">
        <f ca="1">IF(DAY(AprSun1)=1,AprSun1,AprSun1+7)</f>
        <v>42827</v>
      </c>
      <c r="K3" s="3"/>
      <c r="L3" s="10"/>
    </row>
    <row r="4" spans="1:12" ht="30" customHeight="1" x14ac:dyDescent="0.25">
      <c r="A4" s="21"/>
      <c r="C4" s="13">
        <f ca="1">IF(DAY(AprSun1)=1,AprSun1+1,AprSun1+8)</f>
        <v>42828</v>
      </c>
      <c r="D4" s="13">
        <f ca="1">IF(DAY(AprSun1)=1,AprSun1+2,AprSun1+9)</f>
        <v>42829</v>
      </c>
      <c r="E4" s="13">
        <f ca="1">IF(DAY(AprSun1)=1,AprSun1+3,AprSun1+10)</f>
        <v>42830</v>
      </c>
      <c r="F4" s="13">
        <f ca="1">IF(DAY(AprSun1)=1,AprSun1+4,AprSun1+11)</f>
        <v>42831</v>
      </c>
      <c r="G4" s="13">
        <f ca="1">IF(DAY(AprSun1)=1,AprSun1+5,AprSun1+12)</f>
        <v>42832</v>
      </c>
      <c r="H4" s="13">
        <f ca="1">IF(DAY(AprSun1)=1,AprSun1+6,AprSun1+13)</f>
        <v>42833</v>
      </c>
      <c r="I4" s="13">
        <f ca="1">IF(DAY(AprSun1)=1,AprSun1+7,AprSun1+14)</f>
        <v>42834</v>
      </c>
      <c r="K4" s="3"/>
      <c r="L4" s="10"/>
    </row>
    <row r="5" spans="1:12" ht="30" customHeight="1" x14ac:dyDescent="0.25">
      <c r="A5" s="21"/>
      <c r="C5" s="13">
        <f ca="1">IF(DAY(AprSun1)=1,AprSun1+8,AprSun1+15)</f>
        <v>42835</v>
      </c>
      <c r="D5" s="13">
        <f ca="1">IF(DAY(AprSun1)=1,AprSun1+9,AprSun1+16)</f>
        <v>42836</v>
      </c>
      <c r="E5" s="13">
        <f ca="1">IF(DAY(AprSun1)=1,AprSun1+10,AprSun1+17)</f>
        <v>42837</v>
      </c>
      <c r="F5" s="13">
        <f ca="1">IF(DAY(AprSun1)=1,AprSun1+11,AprSun1+18)</f>
        <v>42838</v>
      </c>
      <c r="G5" s="13">
        <f ca="1">IF(DAY(AprSun1)=1,AprSun1+12,AprSun1+19)</f>
        <v>42839</v>
      </c>
      <c r="H5" s="13">
        <f ca="1">IF(DAY(AprSun1)=1,AprSun1+13,AprSun1+20)</f>
        <v>42840</v>
      </c>
      <c r="I5" s="13">
        <f ca="1">IF(DAY(AprSun1)=1,AprSun1+14,AprSun1+21)</f>
        <v>42841</v>
      </c>
      <c r="K5" s="3"/>
      <c r="L5" s="10"/>
    </row>
    <row r="6" spans="1:12" ht="30" customHeight="1" x14ac:dyDescent="0.25">
      <c r="A6" s="21"/>
      <c r="C6" s="13">
        <f ca="1">IF(DAY(AprSun1)=1,AprSun1+15,AprSun1+22)</f>
        <v>42842</v>
      </c>
      <c r="D6" s="13">
        <f ca="1">IF(DAY(AprSun1)=1,AprSun1+16,AprSun1+23)</f>
        <v>42843</v>
      </c>
      <c r="E6" s="13">
        <f ca="1">IF(DAY(AprSun1)=1,AprSun1+17,AprSun1+24)</f>
        <v>42844</v>
      </c>
      <c r="F6" s="13">
        <f ca="1">IF(DAY(AprSun1)=1,AprSun1+18,AprSun1+25)</f>
        <v>42845</v>
      </c>
      <c r="G6" s="13">
        <f ca="1">IF(DAY(AprSun1)=1,AprSun1+19,AprSun1+26)</f>
        <v>42846</v>
      </c>
      <c r="H6" s="13">
        <f ca="1">IF(DAY(AprSun1)=1,AprSun1+20,AprSun1+27)</f>
        <v>42847</v>
      </c>
      <c r="I6" s="13">
        <f ca="1">IF(DAY(AprSun1)=1,AprSun1+21,AprSun1+28)</f>
        <v>42848</v>
      </c>
      <c r="K6" s="3"/>
      <c r="L6" s="10"/>
    </row>
    <row r="7" spans="1:12" ht="30" customHeight="1" x14ac:dyDescent="0.25">
      <c r="A7" s="21"/>
      <c r="C7" s="13">
        <f ca="1">IF(DAY(AprSun1)=1,AprSun1+22,AprSun1+29)</f>
        <v>42849</v>
      </c>
      <c r="D7" s="13">
        <f ca="1">IF(DAY(AprSun1)=1,AprSun1+23,AprSun1+30)</f>
        <v>42850</v>
      </c>
      <c r="E7" s="13">
        <f ca="1">IF(DAY(AprSun1)=1,AprSun1+24,AprSun1+31)</f>
        <v>42851</v>
      </c>
      <c r="F7" s="13">
        <f ca="1">IF(DAY(AprSun1)=1,AprSun1+25,AprSun1+32)</f>
        <v>42852</v>
      </c>
      <c r="G7" s="13">
        <f ca="1">IF(DAY(AprSun1)=1,AprSun1+26,AprSun1+33)</f>
        <v>42853</v>
      </c>
      <c r="H7" s="13">
        <f ca="1">IF(DAY(AprSun1)=1,AprSun1+27,AprSun1+34)</f>
        <v>42854</v>
      </c>
      <c r="I7" s="13">
        <f ca="1">IF(DAY(AprSun1)=1,AprSun1+28,AprSun1+35)</f>
        <v>42855</v>
      </c>
      <c r="J7" s="1"/>
      <c r="K7" s="38"/>
      <c r="L7" s="30"/>
    </row>
    <row r="8" spans="1:12" ht="30" customHeight="1" x14ac:dyDescent="0.25">
      <c r="A8" s="21"/>
      <c r="B8" s="29"/>
      <c r="C8" s="13">
        <f ca="1">IF(DAY(AprSun1)=1,AprSun1+29,AprSun1+36)</f>
        <v>42856</v>
      </c>
      <c r="D8" s="13">
        <f ca="1">IF(DAY(AprSun1)=1,AprSun1+30,AprSun1+37)</f>
        <v>42857</v>
      </c>
      <c r="E8" s="13">
        <f ca="1">IF(DAY(AprSun1)=1,AprSun1+31,AprSun1+38)</f>
        <v>42858</v>
      </c>
      <c r="F8" s="13">
        <f ca="1">IF(DAY(AprSun1)=1,AprSun1+32,AprSun1+39)</f>
        <v>42859</v>
      </c>
      <c r="G8" s="13">
        <f ca="1">IF(DAY(AprSun1)=1,AprSun1+33,AprSun1+40)</f>
        <v>42860</v>
      </c>
      <c r="H8" s="13">
        <f ca="1">IF(DAY(AprSun1)=1,AprSun1+34,AprSun1+41)</f>
        <v>42861</v>
      </c>
      <c r="I8" s="13">
        <f ca="1">IF(DAY(AprSun1)=1,AprSun1+35,AprSun1+42)</f>
        <v>42862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K17" s="3"/>
      <c r="L17" s="10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K18" s="3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K21" s="3"/>
      <c r="L21" s="10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K22" s="3"/>
      <c r="L22" s="10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 t="s">
        <v>8</v>
      </c>
      <c r="K26" s="34"/>
      <c r="L26" s="10" t="s">
        <v>35</v>
      </c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K27" s="3"/>
      <c r="L27" s="10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K28" s="3"/>
      <c r="L28" s="10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K29" s="3"/>
      <c r="L29" s="10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K30" s="3"/>
      <c r="L30" s="10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K31" s="31"/>
      <c r="L31" s="22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88" priority="6" stopIfTrue="1">
      <formula>DAY(C3)&gt;8</formula>
    </cfRule>
  </conditionalFormatting>
  <conditionalFormatting sqref="C7:I8">
    <cfRule type="expression" dxfId="87" priority="5" stopIfTrue="1">
      <formula>AND(DAY(C7)&gt;=1,DAY(C7)&lt;=15)</formula>
    </cfRule>
  </conditionalFormatting>
  <conditionalFormatting sqref="C3:I8">
    <cfRule type="expression" dxfId="86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85" priority="4">
      <formula>B13&lt;&gt;""</formula>
    </cfRule>
  </conditionalFormatting>
  <conditionalFormatting sqref="B12:I12 B14:I14 B16:I16 B18:I18 B20:I20 B22:I22 B24:I24 B26:I26 B28:I28 B30:I30">
    <cfRule type="expression" dxfId="84" priority="3">
      <formula>B12&lt;&gt;""</formula>
    </cfRule>
  </conditionalFormatting>
  <conditionalFormatting sqref="B13:I13 B15:I15 B17:I17 B19:I19 B21:I21 B23:I23 B25:I25 B27:I27 B29:I29">
    <cfRule type="expression" dxfId="83" priority="2">
      <formula>COLUMN(B12)&gt;=2</formula>
    </cfRule>
  </conditionalFormatting>
  <conditionalFormatting sqref="B12:I31">
    <cfRule type="expression" dxfId="82" priority="1">
      <formula>COLUMN(B12)&gt;2</formula>
    </cfRule>
  </conditionalFormatting>
  <dataValidations xWindow="209" yWindow="929" count="13">
    <dataValidation allowBlank="1" showInputMessage="1" showErrorMessage="1" prompt="April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22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27"/>
    </row>
    <row r="3" spans="1:12" ht="30" customHeight="1" x14ac:dyDescent="0.25">
      <c r="A3" s="21"/>
      <c r="C3" s="13">
        <f ca="1">IF(DAY(MaySun1)=1,MaySun1-6,MaySun1+1)</f>
        <v>42856</v>
      </c>
      <c r="D3" s="13">
        <f ca="1">IF(DAY(MaySun1)=1,MaySun1-5,MaySun1+2)</f>
        <v>42857</v>
      </c>
      <c r="E3" s="13">
        <f ca="1">IF(DAY(MaySun1)=1,MaySun1-4,MaySun1+3)</f>
        <v>42858</v>
      </c>
      <c r="F3" s="13">
        <f ca="1">IF(DAY(MaySun1)=1,MaySun1-3,MaySun1+4)</f>
        <v>42859</v>
      </c>
      <c r="G3" s="13">
        <f ca="1">IF(DAY(MaySun1)=1,MaySun1-2,MaySun1+5)</f>
        <v>42860</v>
      </c>
      <c r="H3" s="13">
        <f ca="1">IF(DAY(MaySun1)=1,MaySun1-1,MaySun1+6)</f>
        <v>42861</v>
      </c>
      <c r="I3" s="13">
        <f ca="1">IF(DAY(MaySun1)=1,MaySun1,MaySun1+7)</f>
        <v>42862</v>
      </c>
      <c r="J3" s="18"/>
      <c r="K3" s="3"/>
      <c r="L3" s="27"/>
    </row>
    <row r="4" spans="1:12" ht="30" customHeight="1" x14ac:dyDescent="0.25">
      <c r="A4" s="21"/>
      <c r="C4" s="13">
        <f ca="1">IF(DAY(MaySun1)=1,MaySun1+1,MaySun1+8)</f>
        <v>42863</v>
      </c>
      <c r="D4" s="13">
        <f ca="1">IF(DAY(MaySun1)=1,MaySun1+2,MaySun1+9)</f>
        <v>42864</v>
      </c>
      <c r="E4" s="13">
        <f ca="1">IF(DAY(MaySun1)=1,MaySun1+3,MaySun1+10)</f>
        <v>42865</v>
      </c>
      <c r="F4" s="13">
        <f ca="1">IF(DAY(MaySun1)=1,MaySun1+4,MaySun1+11)</f>
        <v>42866</v>
      </c>
      <c r="G4" s="13">
        <f ca="1">IF(DAY(MaySun1)=1,MaySun1+5,MaySun1+12)</f>
        <v>42867</v>
      </c>
      <c r="H4" s="13">
        <f ca="1">IF(DAY(MaySun1)=1,MaySun1+6,MaySun1+13)</f>
        <v>42868</v>
      </c>
      <c r="I4" s="13">
        <f ca="1">IF(DAY(MaySun1)=1,MaySun1+7,MaySun1+14)</f>
        <v>42869</v>
      </c>
      <c r="J4" s="18"/>
      <c r="K4" s="3"/>
      <c r="L4" s="27"/>
    </row>
    <row r="5" spans="1:12" ht="30" customHeight="1" x14ac:dyDescent="0.25">
      <c r="A5" s="21"/>
      <c r="C5" s="13">
        <f ca="1">IF(DAY(MaySun1)=1,MaySun1+8,MaySun1+15)</f>
        <v>42870</v>
      </c>
      <c r="D5" s="13">
        <f ca="1">IF(DAY(MaySun1)=1,MaySun1+9,MaySun1+16)</f>
        <v>42871</v>
      </c>
      <c r="E5" s="13">
        <f ca="1">IF(DAY(MaySun1)=1,MaySun1+10,MaySun1+17)</f>
        <v>42872</v>
      </c>
      <c r="F5" s="13">
        <f ca="1">IF(DAY(MaySun1)=1,MaySun1+11,MaySun1+18)</f>
        <v>42873</v>
      </c>
      <c r="G5" s="13">
        <f ca="1">IF(DAY(MaySun1)=1,MaySun1+12,MaySun1+19)</f>
        <v>42874</v>
      </c>
      <c r="H5" s="13">
        <f ca="1">IF(DAY(MaySun1)=1,MaySun1+13,MaySun1+20)</f>
        <v>42875</v>
      </c>
      <c r="I5" s="13">
        <f ca="1">IF(DAY(MaySun1)=1,MaySun1+14,MaySun1+21)</f>
        <v>42876</v>
      </c>
      <c r="J5" s="18"/>
      <c r="K5" s="3"/>
      <c r="L5" s="27"/>
    </row>
    <row r="6" spans="1:12" ht="30" customHeight="1" x14ac:dyDescent="0.25">
      <c r="A6" s="21"/>
      <c r="C6" s="13">
        <f ca="1">IF(DAY(MaySun1)=1,MaySun1+15,MaySun1+22)</f>
        <v>42877</v>
      </c>
      <c r="D6" s="13">
        <f ca="1">IF(DAY(MaySun1)=1,MaySun1+16,MaySun1+23)</f>
        <v>42878</v>
      </c>
      <c r="E6" s="13">
        <f ca="1">IF(DAY(MaySun1)=1,MaySun1+17,MaySun1+24)</f>
        <v>42879</v>
      </c>
      <c r="F6" s="13">
        <f ca="1">IF(DAY(MaySun1)=1,MaySun1+18,MaySun1+25)</f>
        <v>42880</v>
      </c>
      <c r="G6" s="13">
        <f ca="1">IF(DAY(MaySun1)=1,MaySun1+19,MaySun1+26)</f>
        <v>42881</v>
      </c>
      <c r="H6" s="13">
        <f ca="1">IF(DAY(MaySun1)=1,MaySun1+20,MaySun1+27)</f>
        <v>42882</v>
      </c>
      <c r="I6" s="13">
        <f ca="1">IF(DAY(MaySun1)=1,MaySun1+21,MaySun1+28)</f>
        <v>42883</v>
      </c>
      <c r="J6" s="18"/>
      <c r="K6" s="3"/>
      <c r="L6" s="27"/>
    </row>
    <row r="7" spans="1:12" ht="30" customHeight="1" x14ac:dyDescent="0.25">
      <c r="A7" s="21"/>
      <c r="C7" s="13">
        <f ca="1">IF(DAY(MaySun1)=1,MaySun1+22,MaySun1+29)</f>
        <v>42884</v>
      </c>
      <c r="D7" s="13">
        <f ca="1">IF(DAY(MaySun1)=1,MaySun1+23,MaySun1+30)</f>
        <v>42885</v>
      </c>
      <c r="E7" s="13">
        <f ca="1">IF(DAY(MaySun1)=1,MaySun1+24,MaySun1+31)</f>
        <v>42886</v>
      </c>
      <c r="F7" s="13">
        <f ca="1">IF(DAY(MaySun1)=1,MaySun1+25,MaySun1+32)</f>
        <v>42887</v>
      </c>
      <c r="G7" s="13">
        <f ca="1">IF(DAY(MaySun1)=1,MaySun1+26,MaySun1+33)</f>
        <v>42888</v>
      </c>
      <c r="H7" s="13">
        <f ca="1">IF(DAY(MaySun1)=1,MaySun1+27,MaySun1+34)</f>
        <v>42889</v>
      </c>
      <c r="I7" s="13">
        <f ca="1">IF(DAY(MaySun1)=1,MaySun1+28,MaySun1+35)</f>
        <v>42890</v>
      </c>
      <c r="J7" s="33"/>
      <c r="K7" s="31"/>
      <c r="L7" s="29"/>
    </row>
    <row r="8" spans="1:12" ht="30" customHeight="1" x14ac:dyDescent="0.25">
      <c r="A8" s="21"/>
      <c r="B8" s="29"/>
      <c r="C8" s="13">
        <f ca="1">IF(DAY(MaySun1)=1,MaySun1+29,MaySun1+36)</f>
        <v>42891</v>
      </c>
      <c r="D8" s="13">
        <f ca="1">IF(DAY(MaySun1)=1,MaySun1+30,MaySun1+37)</f>
        <v>42892</v>
      </c>
      <c r="E8" s="13">
        <f ca="1">IF(DAY(MaySun1)=1,MaySun1+31,MaySun1+38)</f>
        <v>42893</v>
      </c>
      <c r="F8" s="13">
        <f ca="1">IF(DAY(MaySun1)=1,MaySun1+32,MaySun1+39)</f>
        <v>42894</v>
      </c>
      <c r="G8" s="13">
        <f ca="1">IF(DAY(MaySun1)=1,MaySun1+33,MaySun1+40)</f>
        <v>42895</v>
      </c>
      <c r="H8" s="13">
        <f ca="1">IF(DAY(MaySun1)=1,MaySun1+34,MaySun1+41)</f>
        <v>42896</v>
      </c>
      <c r="I8" s="13">
        <f ca="1">IF(DAY(MaySun1)=1,MaySun1+35,MaySun1+42)</f>
        <v>42897</v>
      </c>
      <c r="J8" s="18" t="s">
        <v>30</v>
      </c>
      <c r="K8" s="34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>
        <v>0.33333333333333331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57" t="s">
        <v>6</v>
      </c>
      <c r="K14" s="34"/>
      <c r="L14" s="27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36"/>
      <c r="J20" s="18" t="s">
        <v>31</v>
      </c>
      <c r="K20" s="34"/>
      <c r="L20" s="27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 t="s">
        <v>8</v>
      </c>
      <c r="K26" s="34"/>
      <c r="L26" s="27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J30" s="18"/>
      <c r="K30" s="3"/>
      <c r="L30" s="27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J31" s="33"/>
      <c r="K31" s="31"/>
      <c r="L31" s="29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81" priority="6" stopIfTrue="1">
      <formula>DAY(C3)&gt;8</formula>
    </cfRule>
  </conditionalFormatting>
  <conditionalFormatting sqref="C7:I8">
    <cfRule type="expression" dxfId="80" priority="5" stopIfTrue="1">
      <formula>AND(DAY(C7)&gt;=1,DAY(C7)&lt;=15)</formula>
    </cfRule>
  </conditionalFormatting>
  <conditionalFormatting sqref="C3:I8">
    <cfRule type="expression" dxfId="79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78" priority="4">
      <formula>B13&lt;&gt;""</formula>
    </cfRule>
  </conditionalFormatting>
  <conditionalFormatting sqref="B12:I12 B14:I14 B16:I16 B18:I18 B20:I20 B22:I22 B24:I24 B26:I26 B28:I28 B30:I30">
    <cfRule type="expression" dxfId="77" priority="3">
      <formula>B12&lt;&gt;""</formula>
    </cfRule>
  </conditionalFormatting>
  <conditionalFormatting sqref="B13:I13 B15:I15 B17:I17 B19:I19 B21:I21 B23:I23 B25:I25 B27:I27 B29:I29">
    <cfRule type="expression" dxfId="76" priority="2">
      <formula>COLUMN(B12)&gt;=2</formula>
    </cfRule>
  </conditionalFormatting>
  <conditionalFormatting sqref="B12:I31">
    <cfRule type="expression" dxfId="75" priority="1">
      <formula>COLUMN(B11)&gt;2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23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IF(DAY(JunSun1)=1,JunSun1-6,JunSun1+1)</f>
        <v>42884</v>
      </c>
      <c r="D3" s="13">
        <f ca="1">IF(DAY(JunSun1)=1,JunSun1-5,JunSun1+2)</f>
        <v>42885</v>
      </c>
      <c r="E3" s="13">
        <f ca="1">IF(DAY(JunSun1)=1,JunSun1-4,JunSun1+3)</f>
        <v>42886</v>
      </c>
      <c r="F3" s="13">
        <f ca="1">IF(DAY(JunSun1)=1,JunSun1-3,JunSun1+4)</f>
        <v>42887</v>
      </c>
      <c r="G3" s="13">
        <f ca="1">IF(DAY(JunSun1)=1,JunSun1-2,JunSun1+5)</f>
        <v>42888</v>
      </c>
      <c r="H3" s="13">
        <f ca="1">IF(DAY(JunSun1)=1,JunSun1-1,JunSun1+6)</f>
        <v>42889</v>
      </c>
      <c r="I3" s="13">
        <f ca="1">IF(DAY(JunSun1)=1,JunSun1,JunSun1+7)</f>
        <v>42890</v>
      </c>
      <c r="J3" s="18"/>
      <c r="K3" s="3"/>
      <c r="L3" s="10"/>
    </row>
    <row r="4" spans="1:12" ht="30" customHeight="1" x14ac:dyDescent="0.25">
      <c r="A4" s="21"/>
      <c r="C4" s="13">
        <f ca="1">IF(DAY(JunSun1)=1,JunSun1+1,JunSun1+8)</f>
        <v>42891</v>
      </c>
      <c r="D4" s="13">
        <f ca="1">IF(DAY(JunSun1)=1,JunSun1+2,JunSun1+9)</f>
        <v>42892</v>
      </c>
      <c r="E4" s="13">
        <f ca="1">IF(DAY(JunSun1)=1,JunSun1+3,JunSun1+10)</f>
        <v>42893</v>
      </c>
      <c r="F4" s="13">
        <f ca="1">IF(DAY(JunSun1)=1,JunSun1+4,JunSun1+11)</f>
        <v>42894</v>
      </c>
      <c r="G4" s="13">
        <f ca="1">IF(DAY(JunSun1)=1,JunSun1+5,JunSun1+12)</f>
        <v>42895</v>
      </c>
      <c r="H4" s="13">
        <f ca="1">IF(DAY(JunSun1)=1,JunSun1+6,JunSun1+13)</f>
        <v>42896</v>
      </c>
      <c r="I4" s="13">
        <f ca="1">IF(DAY(JunSun1)=1,JunSun1+7,JunSun1+14)</f>
        <v>42897</v>
      </c>
      <c r="J4" s="18"/>
      <c r="K4" s="3"/>
      <c r="L4" s="10"/>
    </row>
    <row r="5" spans="1:12" ht="30" customHeight="1" x14ac:dyDescent="0.25">
      <c r="A5" s="21"/>
      <c r="C5" s="13">
        <f ca="1">IF(DAY(JunSun1)=1,JunSun1+8,JunSun1+15)</f>
        <v>42898</v>
      </c>
      <c r="D5" s="13">
        <f ca="1">IF(DAY(JunSun1)=1,JunSun1+9,JunSun1+16)</f>
        <v>42899</v>
      </c>
      <c r="E5" s="13">
        <f ca="1">IF(DAY(JunSun1)=1,JunSun1+10,JunSun1+17)</f>
        <v>42900</v>
      </c>
      <c r="F5" s="13">
        <f ca="1">IF(DAY(JunSun1)=1,JunSun1+11,JunSun1+18)</f>
        <v>42901</v>
      </c>
      <c r="G5" s="13">
        <f ca="1">IF(DAY(JunSun1)=1,JunSun1+12,JunSun1+19)</f>
        <v>42902</v>
      </c>
      <c r="H5" s="13">
        <f ca="1">IF(DAY(JunSun1)=1,JunSun1+13,JunSun1+20)</f>
        <v>42903</v>
      </c>
      <c r="I5" s="13">
        <f ca="1">IF(DAY(JunSun1)=1,JunSun1+14,JunSun1+21)</f>
        <v>42904</v>
      </c>
      <c r="J5" s="18"/>
      <c r="K5" s="3"/>
      <c r="L5" s="10"/>
    </row>
    <row r="6" spans="1:12" ht="30" customHeight="1" x14ac:dyDescent="0.25">
      <c r="A6" s="21"/>
      <c r="C6" s="13">
        <f ca="1">IF(DAY(JunSun1)=1,JunSun1+15,JunSun1+22)</f>
        <v>42905</v>
      </c>
      <c r="D6" s="13">
        <f ca="1">IF(DAY(JunSun1)=1,JunSun1+16,JunSun1+23)</f>
        <v>42906</v>
      </c>
      <c r="E6" s="13">
        <f ca="1">IF(DAY(JunSun1)=1,JunSun1+17,JunSun1+24)</f>
        <v>42907</v>
      </c>
      <c r="F6" s="13">
        <f ca="1">IF(DAY(JunSun1)=1,JunSun1+18,JunSun1+25)</f>
        <v>42908</v>
      </c>
      <c r="G6" s="13">
        <f ca="1">IF(DAY(JunSun1)=1,JunSun1+19,JunSun1+26)</f>
        <v>42909</v>
      </c>
      <c r="H6" s="13">
        <f ca="1">IF(DAY(JunSun1)=1,JunSun1+20,JunSun1+27)</f>
        <v>42910</v>
      </c>
      <c r="I6" s="13">
        <f ca="1">IF(DAY(JunSun1)=1,JunSun1+21,JunSun1+28)</f>
        <v>42911</v>
      </c>
      <c r="J6" s="18"/>
      <c r="K6" s="3"/>
      <c r="L6" s="10"/>
    </row>
    <row r="7" spans="1:12" ht="30" customHeight="1" x14ac:dyDescent="0.2">
      <c r="A7" s="21"/>
      <c r="C7" s="13">
        <f ca="1">IF(DAY(JunSun1)=1,JunSun1+22,JunSun1+29)</f>
        <v>42912</v>
      </c>
      <c r="D7" s="13">
        <f ca="1">IF(DAY(JunSun1)=1,JunSun1+23,JunSun1+30)</f>
        <v>42913</v>
      </c>
      <c r="E7" s="13">
        <f ca="1">IF(DAY(JunSun1)=1,JunSun1+24,JunSun1+31)</f>
        <v>42914</v>
      </c>
      <c r="F7" s="13">
        <f ca="1">IF(DAY(JunSun1)=1,JunSun1+25,JunSun1+32)</f>
        <v>42915</v>
      </c>
      <c r="G7" s="13">
        <f ca="1">IF(DAY(JunSun1)=1,JunSun1+26,JunSun1+33)</f>
        <v>42916</v>
      </c>
      <c r="H7" s="13">
        <f ca="1">IF(DAY(JunSun1)=1,JunSun1+27,JunSun1+34)</f>
        <v>42917</v>
      </c>
      <c r="I7" s="13">
        <f ca="1">IF(DAY(JunSun1)=1,JunSun1+28,JunSun1+35)</f>
        <v>42918</v>
      </c>
      <c r="J7" s="43"/>
      <c r="K7" s="43"/>
      <c r="L7" s="43"/>
    </row>
    <row r="8" spans="1:12" ht="30" customHeight="1" x14ac:dyDescent="0.25">
      <c r="A8" s="21"/>
      <c r="B8" s="29"/>
      <c r="C8" s="13">
        <f ca="1">IF(DAY(JunSun1)=1,JunSun1+29,JunSun1+36)</f>
        <v>42919</v>
      </c>
      <c r="D8" s="13">
        <f ca="1">IF(DAY(JunSun1)=1,JunSun1+30,JunSun1+37)</f>
        <v>42920</v>
      </c>
      <c r="E8" s="13">
        <f ca="1">IF(DAY(JunSun1)=1,JunSun1+31,JunSun1+38)</f>
        <v>42921</v>
      </c>
      <c r="F8" s="13">
        <f ca="1">IF(DAY(JunSun1)=1,JunSun1+32,JunSun1+39)</f>
        <v>42922</v>
      </c>
      <c r="G8" s="13">
        <f ca="1">IF(DAY(JunSun1)=1,JunSun1+33,JunSun1+40)</f>
        <v>42923</v>
      </c>
      <c r="H8" s="13">
        <f ca="1">IF(DAY(JunSun1)=1,JunSun1+34,JunSun1+41)</f>
        <v>42924</v>
      </c>
      <c r="I8" s="13">
        <f ca="1">IF(DAY(JunSun1)=1,JunSun1+35,JunSun1+42)</f>
        <v>42925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133" t="s">
        <v>4</v>
      </c>
      <c r="D11" s="134"/>
      <c r="E11" s="133" t="s">
        <v>6</v>
      </c>
      <c r="F11" s="134"/>
      <c r="G11" s="133" t="s">
        <v>7</v>
      </c>
      <c r="H11" s="134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135"/>
      <c r="D12" s="135"/>
      <c r="E12" s="135" t="s">
        <v>9</v>
      </c>
      <c r="F12" s="135"/>
      <c r="G12" s="135"/>
      <c r="H12" s="135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136"/>
      <c r="D13" s="136"/>
      <c r="E13" s="136" t="s">
        <v>10</v>
      </c>
      <c r="F13" s="136"/>
      <c r="G13" s="136"/>
      <c r="H13" s="136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135" t="s">
        <v>11</v>
      </c>
      <c r="D14" s="135"/>
      <c r="E14" s="135"/>
      <c r="F14" s="135"/>
      <c r="G14" s="135" t="s">
        <v>11</v>
      </c>
      <c r="H14" s="135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136" t="s">
        <v>12</v>
      </c>
      <c r="D15" s="136"/>
      <c r="E15" s="136"/>
      <c r="F15" s="136"/>
      <c r="G15" s="136" t="s">
        <v>12</v>
      </c>
      <c r="H15" s="136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135"/>
      <c r="D16" s="135"/>
      <c r="E16" s="135" t="s">
        <v>13</v>
      </c>
      <c r="F16" s="135"/>
      <c r="G16" s="135"/>
      <c r="H16" s="135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136"/>
      <c r="D17" s="136"/>
      <c r="E17" s="136" t="s">
        <v>14</v>
      </c>
      <c r="F17" s="136"/>
      <c r="G17" s="136"/>
      <c r="H17" s="136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135"/>
      <c r="D18" s="135"/>
      <c r="E18" s="135"/>
      <c r="F18" s="135"/>
      <c r="G18" s="135"/>
      <c r="H18" s="135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136"/>
      <c r="D19" s="136"/>
      <c r="E19" s="136"/>
      <c r="F19" s="136"/>
      <c r="G19" s="136"/>
      <c r="H19" s="136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135"/>
      <c r="D20" s="135"/>
      <c r="E20" s="135"/>
      <c r="F20" s="135"/>
      <c r="G20" s="135"/>
      <c r="H20" s="135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136"/>
      <c r="D21" s="136"/>
      <c r="E21" s="136"/>
      <c r="F21" s="136"/>
      <c r="G21" s="136"/>
      <c r="H21" s="136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135"/>
      <c r="D22" s="135"/>
      <c r="E22" s="135"/>
      <c r="F22" s="135"/>
      <c r="G22" s="135"/>
      <c r="H22" s="135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136"/>
      <c r="D23" s="136"/>
      <c r="E23" s="136"/>
      <c r="F23" s="136"/>
      <c r="G23" s="136"/>
      <c r="H23" s="136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135"/>
      <c r="D24" s="135"/>
      <c r="E24" s="135" t="s">
        <v>15</v>
      </c>
      <c r="F24" s="135"/>
      <c r="G24" s="135"/>
      <c r="H24" s="135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136"/>
      <c r="D25" s="136"/>
      <c r="E25" s="136" t="s">
        <v>16</v>
      </c>
      <c r="F25" s="136"/>
      <c r="G25" s="136"/>
      <c r="H25" s="136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135"/>
      <c r="D26" s="135"/>
      <c r="E26" s="135"/>
      <c r="F26" s="135"/>
      <c r="G26" s="135"/>
      <c r="H26" s="135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136"/>
      <c r="D27" s="136"/>
      <c r="E27" s="136"/>
      <c r="F27" s="136"/>
      <c r="G27" s="136"/>
      <c r="H27" s="136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135" t="s">
        <v>17</v>
      </c>
      <c r="D28" s="135"/>
      <c r="E28" s="135"/>
      <c r="F28" s="135"/>
      <c r="G28" s="135" t="s">
        <v>17</v>
      </c>
      <c r="H28" s="135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136" t="s">
        <v>18</v>
      </c>
      <c r="D29" s="136"/>
      <c r="E29" s="136"/>
      <c r="F29" s="136"/>
      <c r="G29" s="136" t="s">
        <v>18</v>
      </c>
      <c r="H29" s="136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135"/>
      <c r="D30" s="135"/>
      <c r="E30" s="135"/>
      <c r="F30" s="135"/>
      <c r="G30" s="135"/>
      <c r="H30" s="135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137"/>
      <c r="D31" s="137"/>
      <c r="E31" s="137"/>
      <c r="F31" s="137"/>
      <c r="G31" s="137"/>
      <c r="H31" s="137"/>
      <c r="I31" s="50"/>
      <c r="J31" s="18"/>
      <c r="K31" s="31"/>
      <c r="L31" s="22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74" priority="6" stopIfTrue="1">
      <formula>DAY(C3)&gt;8</formula>
    </cfRule>
  </conditionalFormatting>
  <conditionalFormatting sqref="C7:I8">
    <cfRule type="expression" dxfId="73" priority="5" stopIfTrue="1">
      <formula>AND(DAY(C7)&gt;=1,DAY(C7)&lt;=15)</formula>
    </cfRule>
  </conditionalFormatting>
  <conditionalFormatting sqref="C3:I8">
    <cfRule type="expression" dxfId="72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71" priority="4">
      <formula>B13&lt;&gt;""</formula>
    </cfRule>
  </conditionalFormatting>
  <conditionalFormatting sqref="B12:I12 B14:I14 B16:I16 B18:I18 B20:I20 B22:I22 B24:I24 B26:I26 B28:I28 B30:I30">
    <cfRule type="expression" dxfId="70" priority="3">
      <formula>B12&lt;&gt;""</formula>
    </cfRule>
  </conditionalFormatting>
  <conditionalFormatting sqref="B13:I13 B15:I15 B17:I17 B19:I19 B21:I21 B23:I23 B25:I25 B27:I27 B29:I29">
    <cfRule type="expression" dxfId="69" priority="2">
      <formula>COLUMN(B13)&gt;=2</formula>
    </cfRule>
  </conditionalFormatting>
  <conditionalFormatting sqref="B12:I31">
    <cfRule type="expression" dxfId="68" priority="1">
      <formula>COLUMN(B12)&gt;2</formula>
    </cfRule>
  </conditionalFormatting>
  <dataValidations xWindow="282" yWindow="780" count="13">
    <dataValidation allowBlank="1" showInputMessage="1" showErrorMessage="1" prompt="June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"/>
    </sheetView>
  </sheetViews>
  <sheetFormatPr defaultRowHeight="14.25" x14ac:dyDescent="0.2"/>
  <cols>
    <col min="1" max="1" width="9" style="96" customWidth="1"/>
    <col min="2" max="2" width="131.875" style="96" customWidth="1"/>
    <col min="3" max="16384" width="9" style="96"/>
  </cols>
  <sheetData>
    <row r="1" spans="1:2" x14ac:dyDescent="0.2">
      <c r="B1" s="95"/>
    </row>
    <row r="2" spans="1:2" x14ac:dyDescent="0.2">
      <c r="B2" s="95"/>
    </row>
    <row r="3" spans="1:2" x14ac:dyDescent="0.2">
      <c r="A3" s="96">
        <v>1</v>
      </c>
      <c r="B3" s="101" t="s">
        <v>59</v>
      </c>
    </row>
    <row r="4" spans="1:2" x14ac:dyDescent="0.2">
      <c r="A4" s="96">
        <v>2</v>
      </c>
      <c r="B4" s="101" t="s">
        <v>69</v>
      </c>
    </row>
    <row r="5" spans="1:2" x14ac:dyDescent="0.2">
      <c r="A5" s="96">
        <v>3</v>
      </c>
      <c r="B5" s="101" t="s">
        <v>74</v>
      </c>
    </row>
    <row r="6" spans="1:2" x14ac:dyDescent="0.2">
      <c r="A6" s="96">
        <v>4</v>
      </c>
      <c r="B6" s="101" t="s">
        <v>72</v>
      </c>
    </row>
    <row r="7" spans="1:2" x14ac:dyDescent="0.2">
      <c r="A7" s="96">
        <v>5</v>
      </c>
      <c r="B7" s="101" t="s">
        <v>71</v>
      </c>
    </row>
    <row r="8" spans="1:2" x14ac:dyDescent="0.2">
      <c r="A8" s="96">
        <v>6</v>
      </c>
      <c r="B8" s="101" t="s">
        <v>70</v>
      </c>
    </row>
    <row r="9" spans="1:2" x14ac:dyDescent="0.2">
      <c r="A9" s="96">
        <v>7</v>
      </c>
      <c r="B9" s="101" t="s">
        <v>73</v>
      </c>
    </row>
    <row r="11" spans="1:2" x14ac:dyDescent="0.2">
      <c r="B11" s="95"/>
    </row>
    <row r="12" spans="1:2" x14ac:dyDescent="0.2">
      <c r="B12" s="95"/>
    </row>
    <row r="13" spans="1:2" x14ac:dyDescent="0.2">
      <c r="B13" s="95"/>
    </row>
    <row r="16" spans="1:2" x14ac:dyDescent="0.2">
      <c r="B16" s="95"/>
    </row>
    <row r="20" spans="2:2" x14ac:dyDescent="0.2">
      <c r="B20" s="9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workbookViewId="0">
      <selection activeCell="E23" sqref="E23"/>
    </sheetView>
  </sheetViews>
  <sheetFormatPr defaultColWidth="33.5" defaultRowHeight="14.25" x14ac:dyDescent="0.2"/>
  <cols>
    <col min="1" max="1" width="3.375" customWidth="1"/>
    <col min="2" max="2" width="3.5" bestFit="1" customWidth="1"/>
    <col min="3" max="3" width="25.375" customWidth="1"/>
    <col min="4" max="4" width="23.75" customWidth="1"/>
    <col min="5" max="5" width="24.5" customWidth="1"/>
    <col min="6" max="6" width="31.125" bestFit="1" customWidth="1"/>
  </cols>
  <sheetData>
    <row r="1" spans="2:6" ht="15" thickBot="1" x14ac:dyDescent="0.25"/>
    <row r="2" spans="2:6" x14ac:dyDescent="0.2">
      <c r="B2" s="140"/>
      <c r="C2" s="116" t="s">
        <v>90</v>
      </c>
      <c r="D2" s="116" t="s">
        <v>92</v>
      </c>
      <c r="E2" s="116" t="s">
        <v>94</v>
      </c>
      <c r="F2" s="116" t="s">
        <v>96</v>
      </c>
    </row>
    <row r="3" spans="2:6" ht="15.75" thickBot="1" x14ac:dyDescent="0.25">
      <c r="B3" s="141"/>
      <c r="C3" s="117" t="s">
        <v>91</v>
      </c>
      <c r="D3" s="117" t="s">
        <v>93</v>
      </c>
      <c r="E3" s="117" t="s">
        <v>95</v>
      </c>
      <c r="F3" s="117" t="s">
        <v>97</v>
      </c>
    </row>
    <row r="4" spans="2:6" ht="15" x14ac:dyDescent="0.2">
      <c r="B4" s="142" t="s">
        <v>98</v>
      </c>
      <c r="C4" s="118" t="s">
        <v>99</v>
      </c>
      <c r="D4" s="123" t="s">
        <v>126</v>
      </c>
      <c r="E4" s="123" t="s">
        <v>126</v>
      </c>
      <c r="F4" s="123" t="s">
        <v>126</v>
      </c>
    </row>
    <row r="5" spans="2:6" ht="15" x14ac:dyDescent="0.2">
      <c r="B5" s="143"/>
      <c r="C5" s="118" t="s">
        <v>100</v>
      </c>
      <c r="D5" s="118" t="s">
        <v>105</v>
      </c>
      <c r="E5" s="118" t="s">
        <v>105</v>
      </c>
      <c r="F5" s="118" t="s">
        <v>110</v>
      </c>
    </row>
    <row r="6" spans="2:6" ht="15" x14ac:dyDescent="0.2">
      <c r="B6" s="143"/>
      <c r="C6" s="118"/>
      <c r="D6" s="119"/>
      <c r="E6" s="119"/>
      <c r="F6" s="128"/>
    </row>
    <row r="7" spans="2:6" ht="15" x14ac:dyDescent="0.2">
      <c r="B7" s="143"/>
      <c r="C7" s="119" t="s">
        <v>101</v>
      </c>
      <c r="D7" s="119" t="s">
        <v>106</v>
      </c>
      <c r="E7" s="119" t="s">
        <v>108</v>
      </c>
      <c r="F7" s="128" t="s">
        <v>111</v>
      </c>
    </row>
    <row r="8" spans="2:6" ht="15" x14ac:dyDescent="0.2">
      <c r="B8" s="143"/>
      <c r="C8" s="120" t="s">
        <v>102</v>
      </c>
      <c r="D8" s="124"/>
      <c r="E8" s="124"/>
      <c r="F8" s="129"/>
    </row>
    <row r="9" spans="2:6" ht="15" x14ac:dyDescent="0.2">
      <c r="B9" s="143"/>
      <c r="C9" s="120"/>
      <c r="D9" s="125" t="s">
        <v>107</v>
      </c>
      <c r="E9" s="125" t="s">
        <v>109</v>
      </c>
      <c r="F9" s="129" t="s">
        <v>112</v>
      </c>
    </row>
    <row r="10" spans="2:6" ht="15" x14ac:dyDescent="0.2">
      <c r="B10" s="143"/>
      <c r="C10" s="121" t="s">
        <v>103</v>
      </c>
      <c r="D10" s="126"/>
      <c r="E10" s="126"/>
      <c r="F10" s="126"/>
    </row>
    <row r="11" spans="2:6" ht="15.75" thickBot="1" x14ac:dyDescent="0.25">
      <c r="B11" s="144"/>
      <c r="C11" s="122" t="s">
        <v>104</v>
      </c>
      <c r="D11" s="127"/>
      <c r="E11" s="127"/>
      <c r="F11" s="127"/>
    </row>
    <row r="12" spans="2:6" ht="15" thickBot="1" x14ac:dyDescent="0.25">
      <c r="B12" s="130"/>
      <c r="C12" s="131"/>
      <c r="D12" s="131"/>
      <c r="E12" s="131"/>
      <c r="F12" s="131"/>
    </row>
    <row r="13" spans="2:6" ht="15" x14ac:dyDescent="0.2">
      <c r="B13" s="142" t="s">
        <v>113</v>
      </c>
      <c r="C13" s="118" t="s">
        <v>128</v>
      </c>
      <c r="D13" s="118" t="s">
        <v>127</v>
      </c>
      <c r="E13" s="118" t="s">
        <v>127</v>
      </c>
      <c r="F13" s="118" t="s">
        <v>123</v>
      </c>
    </row>
    <row r="14" spans="2:6" ht="15" x14ac:dyDescent="0.2">
      <c r="B14" s="143"/>
      <c r="C14" s="118" t="s">
        <v>100</v>
      </c>
      <c r="D14" s="118" t="s">
        <v>105</v>
      </c>
      <c r="E14" s="118" t="s">
        <v>105</v>
      </c>
      <c r="F14" s="118" t="s">
        <v>124</v>
      </c>
    </row>
    <row r="15" spans="2:6" ht="15" x14ac:dyDescent="0.2">
      <c r="B15" s="143"/>
      <c r="C15" s="119"/>
      <c r="D15" s="119"/>
      <c r="E15" s="119"/>
      <c r="F15" s="118"/>
    </row>
    <row r="16" spans="2:6" ht="15" x14ac:dyDescent="0.2">
      <c r="B16" s="143"/>
      <c r="C16" s="119" t="s">
        <v>114</v>
      </c>
      <c r="D16" s="119" t="s">
        <v>129</v>
      </c>
      <c r="E16" s="119" t="s">
        <v>121</v>
      </c>
      <c r="F16" s="128" t="s">
        <v>125</v>
      </c>
    </row>
    <row r="17" spans="2:6" ht="15" x14ac:dyDescent="0.2">
      <c r="B17" s="143"/>
      <c r="C17" s="125" t="s">
        <v>115</v>
      </c>
      <c r="D17" s="125" t="s">
        <v>117</v>
      </c>
      <c r="E17" s="125" t="s">
        <v>122</v>
      </c>
      <c r="F17" s="128"/>
    </row>
    <row r="18" spans="2:6" x14ac:dyDescent="0.2">
      <c r="B18" s="143"/>
      <c r="C18" s="125" t="s">
        <v>116</v>
      </c>
      <c r="D18" s="125" t="s">
        <v>118</v>
      </c>
      <c r="E18" s="124"/>
      <c r="F18" s="129" t="s">
        <v>112</v>
      </c>
    </row>
    <row r="19" spans="2:6" ht="15" x14ac:dyDescent="0.2">
      <c r="B19" s="143"/>
      <c r="C19" s="126"/>
      <c r="D19" s="119" t="s">
        <v>119</v>
      </c>
      <c r="E19" s="125" t="s">
        <v>107</v>
      </c>
      <c r="F19" s="126"/>
    </row>
    <row r="20" spans="2:6" ht="15" thickBot="1" x14ac:dyDescent="0.25">
      <c r="B20" s="144"/>
      <c r="C20" s="127"/>
      <c r="D20" s="132" t="s">
        <v>120</v>
      </c>
      <c r="E20" s="127"/>
      <c r="F20" s="127"/>
    </row>
  </sheetData>
  <mergeCells count="3">
    <mergeCell ref="B2:B3"/>
    <mergeCell ref="B4:B11"/>
    <mergeCell ref="B13:B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defaultRowHeight="14.25" x14ac:dyDescent="0.2"/>
  <cols>
    <col min="1" max="1" width="35.25" style="96" customWidth="1"/>
    <col min="2" max="2" width="49.875" style="96" bestFit="1" customWidth="1"/>
    <col min="3" max="3" width="14.875" style="96" customWidth="1"/>
    <col min="4" max="16384" width="9" style="96"/>
  </cols>
  <sheetData>
    <row r="1" spans="1:3" ht="15" x14ac:dyDescent="0.25">
      <c r="A1" s="99" t="s">
        <v>68</v>
      </c>
    </row>
    <row r="2" spans="1:3" ht="15" x14ac:dyDescent="0.25">
      <c r="A2" s="98" t="s">
        <v>67</v>
      </c>
      <c r="B2" s="98" t="s">
        <v>78</v>
      </c>
      <c r="C2" s="98" t="s">
        <v>66</v>
      </c>
    </row>
    <row r="3" spans="1:3" ht="29.25" x14ac:dyDescent="0.25">
      <c r="A3" s="103" t="s">
        <v>130</v>
      </c>
      <c r="B3" s="102" t="s">
        <v>79</v>
      </c>
      <c r="C3" s="100"/>
    </row>
    <row r="4" spans="1:3" ht="15" x14ac:dyDescent="0.25">
      <c r="A4" s="100"/>
      <c r="B4" s="102"/>
      <c r="C4" s="102"/>
    </row>
    <row r="5" spans="1:3" x14ac:dyDescent="0.2">
      <c r="A5" s="100"/>
      <c r="B5" s="100"/>
      <c r="C5" s="100"/>
    </row>
  </sheetData>
  <hyperlinks>
    <hyperlink ref="B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61</vt:i4>
      </vt:variant>
    </vt:vector>
  </HeadingPairs>
  <TitlesOfParts>
    <vt:vector size="77" baseType="lpstr">
      <vt:lpstr>Jan</vt:lpstr>
      <vt:lpstr>Feb</vt:lpstr>
      <vt:lpstr>Mar</vt:lpstr>
      <vt:lpstr>Apr</vt:lpstr>
      <vt:lpstr>May</vt:lpstr>
      <vt:lpstr>Jun</vt:lpstr>
      <vt:lpstr>Procedure</vt:lpstr>
      <vt:lpstr>Agenda</vt:lpstr>
      <vt:lpstr>Env Setup</vt:lpstr>
      <vt:lpstr>SkillTraining</vt:lpstr>
      <vt:lpstr>Jul</vt:lpstr>
      <vt:lpstr>Aug</vt:lpstr>
      <vt:lpstr>Sep</vt:lpstr>
      <vt:lpstr>Oct</vt:lpstr>
      <vt:lpstr>Nov</vt:lpstr>
      <vt:lpstr>Dec</vt:lpstr>
      <vt:lpstr>Apr!AssignmentDays</vt:lpstr>
      <vt:lpstr>Aug!AssignmentDays</vt:lpstr>
      <vt:lpstr>Dec!AssignmentDays</vt:lpstr>
      <vt:lpstr>Feb!AssignmentDays</vt:lpstr>
      <vt:lpstr>Jul!AssignmentDays</vt:lpstr>
      <vt:lpstr>Jun!AssignmentDays</vt:lpstr>
      <vt:lpstr>Mar!AssignmentDays</vt:lpstr>
      <vt:lpstr>May!AssignmentDays</vt:lpstr>
      <vt:lpstr>Nov!AssignmentDays</vt:lpstr>
      <vt:lpstr>Oct!AssignmentDays</vt:lpstr>
      <vt:lpstr>Sep!AssignmentDays</vt:lpstr>
      <vt:lpstr>AssignmentDays</vt:lpstr>
      <vt:lpstr>CalendarYear</vt:lpstr>
      <vt:lpstr>ColumnTitle1</vt:lpstr>
      <vt:lpstr>ColumnTitle10</vt:lpstr>
      <vt:lpstr>ColumnTitle11</vt:lpstr>
      <vt:lpstr>ColumnTitle12</vt:lpstr>
      <vt:lpstr>ColumnTitle2</vt:lpstr>
      <vt:lpstr>ColumnTitle3</vt:lpstr>
      <vt:lpstr>ColumnTitle4</vt:lpstr>
      <vt:lpstr>ColumnTitle5</vt:lpstr>
      <vt:lpstr>ColumnTitle6</vt:lpstr>
      <vt:lpstr>ColumnTitle7</vt:lpstr>
      <vt:lpstr>ColumnTitle8</vt:lpstr>
      <vt:lpstr>ColumnTitle9</vt:lpstr>
      <vt:lpstr>ColumnTitleRegion1..I8.1</vt:lpstr>
      <vt:lpstr>ColumnTitleRegion1..I8.10</vt:lpstr>
      <vt:lpstr>ColumnTitleRegion1..I8.11</vt:lpstr>
      <vt:lpstr>ColumnTitleRegion1..I8.12</vt:lpstr>
      <vt:lpstr>ColumnTitleRegion1..I8.2</vt:lpstr>
      <vt:lpstr>ColumnTitleRegion1..I8.3</vt:lpstr>
      <vt:lpstr>ColumnTitleRegion1..I8.4</vt:lpstr>
      <vt:lpstr>ColumnTitleRegion1..I8.5</vt:lpstr>
      <vt:lpstr>ColumnTitleRegion1..I8.6</vt:lpstr>
      <vt:lpstr>ColumnTitleRegion1..I8.7</vt:lpstr>
      <vt:lpstr>ColumnTitleRegion1..I8.8</vt:lpstr>
      <vt:lpstr>ColumnTitleRegion1..I8.9</vt:lpstr>
      <vt:lpstr>Apr!ImportantDatesTable</vt:lpstr>
      <vt:lpstr>Aug!ImportantDatesTable</vt:lpstr>
      <vt:lpstr>Dec!ImportantDatesTable</vt:lpstr>
      <vt:lpstr>Feb!ImportantDatesTable</vt:lpstr>
      <vt:lpstr>Jul!ImportantDatesTable</vt:lpstr>
      <vt:lpstr>Jun!ImportantDatesTable</vt:lpstr>
      <vt:lpstr>Mar!ImportantDatesTable</vt:lpstr>
      <vt:lpstr>May!ImportantDatesTable</vt:lpstr>
      <vt:lpstr>Nov!ImportantDatesTable</vt:lpstr>
      <vt:lpstr>Oct!ImportantDatesTable</vt:lpstr>
      <vt:lpstr>Sep!ImportantDatesTable</vt:lpstr>
      <vt:lpstr>ImportantDatesTable</vt:lpstr>
      <vt:lpstr>TitleRegion2..I31.1</vt:lpstr>
      <vt:lpstr>TitleRegion2..I31.10</vt:lpstr>
      <vt:lpstr>TitleRegion2..I31.11</vt:lpstr>
      <vt:lpstr>TitleRegion2..I31.12</vt:lpstr>
      <vt:lpstr>TitleRegion2..I31.2</vt:lpstr>
      <vt:lpstr>TitleRegion2..I31.3</vt:lpstr>
      <vt:lpstr>TitleRegion2..I31.4</vt:lpstr>
      <vt:lpstr>TitleRegion2..I31.5</vt:lpstr>
      <vt:lpstr>TitleRegion2..I31.6</vt:lpstr>
      <vt:lpstr>TitleRegion2..I31.7</vt:lpstr>
      <vt:lpstr>TitleRegion2..I31.8</vt:lpstr>
      <vt:lpstr>TitleRegion2..I31.9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TINGTING ZHANG (ADEV-DEV-CS/ZHA)</dc:creator>
  <cp:lastModifiedBy>TINGTING ZHANG (ADEV-DEV-CS/ZHA)</cp:lastModifiedBy>
  <dcterms:created xsi:type="dcterms:W3CDTF">2016-12-22T23:12:27Z</dcterms:created>
  <dcterms:modified xsi:type="dcterms:W3CDTF">2017-07-07T03:12:16Z</dcterms:modified>
</cp:coreProperties>
</file>