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filterPrivacy="1" defaultThemeVersion="124226"/>
  <xr:revisionPtr revIDLastSave="0" documentId="13_ncr:1_{E13D9957-E40E-434D-91C3-49DE69A15A85}" xr6:coauthVersionLast="34" xr6:coauthVersionMax="36" xr10:uidLastSave="{00000000-0000-0000-0000-000000000000}"/>
  <bookViews>
    <workbookView xWindow="0" yWindow="90" windowWidth="19200" windowHeight="11640" activeTab="2" xr2:uid="{00000000-000D-0000-FFFF-FFFF00000000}"/>
  </bookViews>
  <sheets>
    <sheet name="mode1" sheetId="4" r:id="rId1"/>
    <sheet name="mode2" sheetId="2" r:id="rId2"/>
    <sheet name="mode3" sheetId="3" r:id="rId3"/>
  </sheets>
  <definedNames>
    <definedName name="_xlnm.Print_Area" localSheetId="0">mode1!$A$1:$P$40</definedName>
    <definedName name="_xlnm.Print_Area" localSheetId="1">mode2!$A$1:$P$40</definedName>
    <definedName name="_xlnm.Print_Area" localSheetId="2">mode3!$A$1:$P$40</definedName>
  </definedNames>
  <calcPr calcId="179020"/>
</workbook>
</file>

<file path=xl/calcChain.xml><?xml version="1.0" encoding="utf-8"?>
<calcChain xmlns="http://schemas.openxmlformats.org/spreadsheetml/2006/main">
  <c r="A16" i="4" l="1"/>
  <c r="E6" i="4"/>
  <c r="E16" i="4"/>
  <c r="N16" i="4"/>
  <c r="J16" i="4"/>
  <c r="A16" i="3"/>
  <c r="N39" i="4"/>
  <c r="L39" i="4"/>
  <c r="J39" i="4"/>
  <c r="U24" i="4"/>
  <c r="U23" i="4"/>
  <c r="U22" i="4"/>
  <c r="S22" i="4" s="1"/>
  <c r="B9" i="4"/>
  <c r="L8" i="4"/>
  <c r="S29" i="4"/>
  <c r="C8" i="4"/>
  <c r="D37" i="4"/>
  <c r="C7" i="4"/>
  <c r="G6" i="4"/>
  <c r="N19" i="4"/>
  <c r="A22" i="4"/>
  <c r="B5" i="4"/>
  <c r="B4" i="4"/>
  <c r="L3" i="4"/>
  <c r="N39" i="3"/>
  <c r="L39" i="3"/>
  <c r="J39" i="3"/>
  <c r="U24" i="3"/>
  <c r="U23" i="3"/>
  <c r="U22" i="3"/>
  <c r="S22" i="3" s="1"/>
  <c r="B9" i="3"/>
  <c r="L8" i="3"/>
  <c r="S29" i="3"/>
  <c r="C8" i="3"/>
  <c r="D37" i="3"/>
  <c r="C7" i="3"/>
  <c r="G6" i="3"/>
  <c r="N19" i="3"/>
  <c r="E6" i="3"/>
  <c r="A22" i="3"/>
  <c r="B5" i="3"/>
  <c r="B4" i="3"/>
  <c r="L3" i="3"/>
  <c r="A16" i="2"/>
  <c r="N39" i="2"/>
  <c r="L39" i="2"/>
  <c r="J39" i="2"/>
  <c r="G6" i="2"/>
  <c r="C8" i="2"/>
  <c r="D37" i="2"/>
  <c r="L8" i="2"/>
  <c r="E6" i="2"/>
  <c r="B9" i="2"/>
  <c r="B5" i="2"/>
  <c r="B4" i="2"/>
  <c r="L3" i="2"/>
  <c r="U22" i="2"/>
  <c r="S22" i="2" s="1"/>
  <c r="U24" i="2"/>
  <c r="U23" i="2"/>
  <c r="E7" i="4"/>
  <c r="M7" i="4"/>
  <c r="E16" i="3"/>
  <c r="C17" i="3"/>
  <c r="M27" i="4"/>
  <c r="I27" i="4"/>
  <c r="C27" i="4"/>
  <c r="F27" i="4"/>
  <c r="I26" i="4"/>
  <c r="A25" i="4"/>
  <c r="A24" i="4"/>
  <c r="A23" i="4"/>
  <c r="O27" i="4"/>
  <c r="K27" i="4"/>
  <c r="A27" i="4"/>
  <c r="O26" i="4"/>
  <c r="K26" i="4"/>
  <c r="A26" i="4"/>
  <c r="C17" i="4"/>
  <c r="O8" i="4"/>
  <c r="G7" i="4"/>
  <c r="O7" i="4"/>
  <c r="M7" i="3"/>
  <c r="E7" i="3"/>
  <c r="O8" i="3"/>
  <c r="G7" i="3"/>
  <c r="O7" i="3"/>
  <c r="A26" i="3"/>
  <c r="K26" i="3"/>
  <c r="O26" i="3"/>
  <c r="A27" i="3"/>
  <c r="K27" i="3"/>
  <c r="O27" i="3"/>
  <c r="A23" i="3"/>
  <c r="A24" i="3"/>
  <c r="A25" i="3"/>
  <c r="I26" i="3"/>
  <c r="I27" i="3"/>
  <c r="E16" i="2"/>
  <c r="J16" i="3"/>
  <c r="N16" i="3"/>
  <c r="C17" i="2"/>
  <c r="N16" i="2"/>
  <c r="J16" i="2"/>
  <c r="C26" i="4"/>
  <c r="S29" i="2"/>
  <c r="A22" i="2"/>
  <c r="M7" i="2"/>
  <c r="E7" i="2"/>
  <c r="C7" i="2"/>
  <c r="N19" i="2"/>
  <c r="O8" i="2"/>
  <c r="O7" i="2"/>
  <c r="G7" i="2"/>
  <c r="F26" i="4"/>
  <c r="M26" i="4"/>
  <c r="A26" i="2"/>
  <c r="O26" i="2"/>
  <c r="O27" i="2"/>
  <c r="I27" i="2"/>
  <c r="I26" i="2"/>
  <c r="K26" i="2"/>
  <c r="K27" i="2"/>
  <c r="A27" i="2"/>
  <c r="A23" i="2"/>
  <c r="A25" i="2"/>
  <c r="A24" i="2"/>
  <c r="C27" i="2"/>
  <c r="F27" i="2"/>
  <c r="M27" i="2"/>
  <c r="S26" i="2" l="1"/>
  <c r="C26" i="2" s="1"/>
  <c r="F26" i="2" s="1"/>
  <c r="C22" i="4"/>
  <c r="S24" i="4"/>
  <c r="C24" i="4" s="1"/>
  <c r="S23" i="4"/>
  <c r="C23" i="4" s="1"/>
  <c r="S25" i="4"/>
  <c r="C25" i="4" s="1"/>
  <c r="S23" i="3"/>
  <c r="C23" i="3" s="1"/>
  <c r="S26" i="3"/>
  <c r="C26" i="3" s="1"/>
  <c r="C22" i="3"/>
  <c r="S24" i="3"/>
  <c r="C24" i="3" s="1"/>
  <c r="S25" i="3"/>
  <c r="C25" i="3" s="1"/>
  <c r="C22" i="2"/>
  <c r="S27" i="2"/>
  <c r="S24" i="2"/>
  <c r="C24" i="2" s="1"/>
  <c r="S23" i="2"/>
  <c r="C23" i="2" s="1"/>
  <c r="S25" i="2"/>
  <c r="C25" i="2" s="1"/>
  <c r="M26" i="2" l="1"/>
  <c r="S26" i="4"/>
  <c r="S27" i="4" s="1"/>
  <c r="F25" i="2"/>
  <c r="M25" i="2"/>
  <c r="M25" i="4"/>
  <c r="F25" i="4"/>
  <c r="F22" i="3"/>
  <c r="M22" i="3"/>
  <c r="M23" i="4"/>
  <c r="F23" i="4"/>
  <c r="F24" i="4"/>
  <c r="M24" i="4"/>
  <c r="F23" i="3"/>
  <c r="M23" i="3"/>
  <c r="M22" i="4"/>
  <c r="F22" i="4"/>
  <c r="F26" i="3"/>
  <c r="M26" i="3"/>
  <c r="M24" i="2"/>
  <c r="F24" i="2"/>
  <c r="F22" i="2"/>
  <c r="M22" i="2"/>
  <c r="M25" i="3"/>
  <c r="F25" i="3"/>
  <c r="S27" i="3"/>
  <c r="C27" i="3" s="1"/>
  <c r="F23" i="2"/>
  <c r="M23" i="2"/>
  <c r="M24" i="3"/>
  <c r="F24" i="3"/>
  <c r="F27" i="3" l="1"/>
  <c r="M27" i="3"/>
</calcChain>
</file>

<file path=xl/sharedStrings.xml><?xml version="1.0" encoding="utf-8"?>
<sst xmlns="http://schemas.openxmlformats.org/spreadsheetml/2006/main" count="405" uniqueCount="103">
  <si>
    <t>JL(JLBZ-F-08)-02JD(01)</t>
    <phoneticPr fontId="1" type="noConversion"/>
  </si>
  <si>
    <t>压力表检定记录</t>
    <phoneticPr fontId="1" type="noConversion"/>
  </si>
  <si>
    <t>证书编号</t>
    <phoneticPr fontId="1" type="noConversion"/>
  </si>
  <si>
    <t>型号/规格</t>
    <phoneticPr fontId="1" type="noConversion"/>
  </si>
  <si>
    <t>准确度等级</t>
    <phoneticPr fontId="1" type="noConversion"/>
  </si>
  <si>
    <t>出厂编号</t>
    <phoneticPr fontId="1" type="noConversion"/>
  </si>
  <si>
    <t>名称</t>
    <phoneticPr fontId="1" type="noConversion"/>
  </si>
  <si>
    <t>0.05级活塞式压力计标准装置</t>
    <phoneticPr fontId="1" type="noConversion"/>
  </si>
  <si>
    <t>流水号</t>
    <phoneticPr fontId="1" type="noConversion"/>
  </si>
  <si>
    <t>检定地点</t>
    <phoneticPr fontId="1" type="noConversion"/>
  </si>
  <si>
    <t>最大允许误差</t>
    <phoneticPr fontId="1" type="noConversion"/>
  </si>
  <si>
    <t>分度值</t>
    <phoneticPr fontId="1" type="noConversion"/>
  </si>
  <si>
    <t>相对湿度</t>
    <phoneticPr fontId="1" type="noConversion"/>
  </si>
  <si>
    <t>JJG52-2013</t>
    <phoneticPr fontId="1" type="noConversion"/>
  </si>
  <si>
    <t>%</t>
    <phoneticPr fontId="1" type="noConversion"/>
  </si>
  <si>
    <t>～</t>
    <phoneticPr fontId="1" type="noConversion"/>
  </si>
  <si>
    <t>0.05级</t>
    <phoneticPr fontId="1" type="noConversion"/>
  </si>
  <si>
    <t>[1987]辽量标法证字第1038号</t>
    <phoneticPr fontId="1" type="noConversion"/>
  </si>
  <si>
    <t>外观检查</t>
    <phoneticPr fontId="1" type="noConversion"/>
  </si>
  <si>
    <t>指针偏转平稳性</t>
    <phoneticPr fontId="1" type="noConversion"/>
  </si>
  <si>
    <t>零位误差</t>
    <phoneticPr fontId="1" type="noConversion"/>
  </si>
  <si>
    <t>标准器压力值</t>
    <phoneticPr fontId="1" type="noConversion"/>
  </si>
  <si>
    <t>升压</t>
    <phoneticPr fontId="1" type="noConversion"/>
  </si>
  <si>
    <t>降压</t>
    <phoneticPr fontId="1" type="noConversion"/>
  </si>
  <si>
    <t>最大示值误差</t>
    <phoneticPr fontId="1" type="noConversion"/>
  </si>
  <si>
    <t>最大回程误差</t>
    <phoneticPr fontId="1" type="noConversion"/>
  </si>
  <si>
    <t>合格</t>
    <phoneticPr fontId="1" type="noConversion"/>
  </si>
  <si>
    <t>电接点压力表设定点偏差、切换差</t>
    <phoneticPr fontId="1" type="noConversion"/>
  </si>
  <si>
    <t>设定点</t>
    <phoneticPr fontId="1" type="noConversion"/>
  </si>
  <si>
    <t>切换值</t>
    <phoneticPr fontId="1" type="noConversion"/>
  </si>
  <si>
    <t>上切换值</t>
    <phoneticPr fontId="1" type="noConversion"/>
  </si>
  <si>
    <t>下切换值</t>
    <phoneticPr fontId="1" type="noConversion"/>
  </si>
  <si>
    <t>设定点偏差</t>
    <phoneticPr fontId="1" type="noConversion"/>
  </si>
  <si>
    <t>切换差</t>
    <phoneticPr fontId="1" type="noConversion"/>
  </si>
  <si>
    <t>检定结果</t>
    <phoneticPr fontId="1" type="noConversion"/>
  </si>
  <si>
    <t>电接点压力表的绝缘电阻</t>
    <phoneticPr fontId="1" type="noConversion"/>
  </si>
  <si>
    <t>电接点压力表的绝缘强度</t>
    <phoneticPr fontId="1" type="noConversion"/>
  </si>
  <si>
    <t>其他</t>
    <phoneticPr fontId="1" type="noConversion"/>
  </si>
  <si>
    <t>级</t>
    <phoneticPr fontId="1" type="noConversion"/>
  </si>
  <si>
    <t>①开机检查是否符合要求</t>
    <phoneticPr fontId="1" type="noConversion"/>
  </si>
  <si>
    <t>②其它环境条件是否符合要求</t>
    <phoneticPr fontId="1" type="noConversion"/>
  </si>
  <si>
    <t>(</t>
    <phoneticPr fontId="1" type="noConversion"/>
  </si>
  <si>
    <t>检定日期</t>
    <phoneticPr fontId="1" type="noConversion"/>
  </si>
  <si>
    <t>2012年08月01日实施</t>
    <phoneticPr fontId="1" type="noConversion"/>
  </si>
  <si>
    <t>轻敲表壳后被检仪表的示值</t>
    <phoneticPr fontId="1" type="noConversion"/>
  </si>
  <si>
    <t>轻敲位移</t>
    <phoneticPr fontId="1" type="noConversion"/>
  </si>
  <si>
    <t>送检单位</t>
    <phoneticPr fontId="1" type="noConversion"/>
  </si>
  <si>
    <t>制造单位</t>
    <phoneticPr fontId="1" type="noConversion"/>
  </si>
  <si>
    <t>MPa</t>
  </si>
  <si>
    <t>计量器具名称</t>
    <phoneticPr fontId="1" type="noConversion"/>
  </si>
  <si>
    <t>）</t>
    <phoneticPr fontId="1" type="noConversion"/>
  </si>
  <si>
    <t>测量范围</t>
    <phoneticPr fontId="1" type="noConversion"/>
  </si>
  <si>
    <t>环境温度</t>
    <phoneticPr fontId="1" type="noConversion"/>
  </si>
  <si>
    <t>℃</t>
    <phoneticPr fontId="1" type="noConversion"/>
  </si>
  <si>
    <t>±</t>
    <phoneticPr fontId="1" type="noConversion"/>
  </si>
  <si>
    <t>检定依据</t>
    <phoneticPr fontId="1" type="noConversion"/>
  </si>
  <si>
    <t>是</t>
    <phoneticPr fontId="1" type="noConversion"/>
  </si>
  <si>
    <t>否</t>
    <phoneticPr fontId="1" type="noConversion"/>
  </si>
  <si>
    <t>，</t>
    <phoneticPr fontId="1" type="noConversion"/>
  </si>
  <si>
    <t>原因：</t>
    <phoneticPr fontId="1" type="noConversion"/>
  </si>
  <si>
    <t>_________________________</t>
    <phoneticPr fontId="1" type="noConversion"/>
  </si>
  <si>
    <t>所用标准器及主要配套设备：</t>
    <phoneticPr fontId="1" type="noConversion"/>
  </si>
  <si>
    <t>本院热工所(压力)</t>
  </si>
  <si>
    <t>型号</t>
    <phoneticPr fontId="1" type="noConversion"/>
  </si>
  <si>
    <t>编号：</t>
    <phoneticPr fontId="1" type="noConversion"/>
  </si>
  <si>
    <t>证书号：</t>
    <phoneticPr fontId="1" type="noConversion"/>
  </si>
  <si>
    <t>□</t>
    <phoneticPr fontId="1" type="noConversion"/>
  </si>
  <si>
    <t>√</t>
    <phoneticPr fontId="1" type="noConversion"/>
  </si>
  <si>
    <t>有效日期</t>
    <phoneticPr fontId="1" type="noConversion"/>
  </si>
  <si>
    <t>是否符合要求</t>
    <phoneticPr fontId="1" type="noConversion"/>
  </si>
  <si>
    <t>□，</t>
    <phoneticPr fontId="1" type="noConversion"/>
  </si>
  <si>
    <t>____________</t>
    <phoneticPr fontId="1" type="noConversion"/>
  </si>
  <si>
    <t>合格</t>
  </si>
  <si>
    <t>单位：</t>
    <phoneticPr fontId="1" type="noConversion"/>
  </si>
  <si>
    <t>日</t>
    <phoneticPr fontId="1" type="noConversion"/>
  </si>
  <si>
    <t>月</t>
    <phoneticPr fontId="1" type="noConversion"/>
  </si>
  <si>
    <t>年</t>
    <phoneticPr fontId="1" type="noConversion"/>
  </si>
  <si>
    <t>检定员_______________</t>
    <phoneticPr fontId="1" type="noConversion"/>
  </si>
  <si>
    <t>核验员______________</t>
    <phoneticPr fontId="1" type="noConversion"/>
  </si>
  <si>
    <t xml:space="preserve">检定结论：  </t>
    <phoneticPr fontId="1" type="noConversion"/>
  </si>
  <si>
    <t>随机数</t>
    <phoneticPr fontId="1" type="noConversion"/>
  </si>
  <si>
    <t>随机数1</t>
    <phoneticPr fontId="1" type="noConversion"/>
  </si>
  <si>
    <t>分度值/5</t>
    <phoneticPr fontId="1" type="noConversion"/>
  </si>
  <si>
    <t>随机数3</t>
  </si>
  <si>
    <t>随机数4</t>
  </si>
  <si>
    <t>随机数5</t>
  </si>
  <si>
    <t>随机数6</t>
  </si>
  <si>
    <t>随机数2</t>
    <phoneticPr fontId="1" type="noConversion"/>
  </si>
  <si>
    <t>符合</t>
    <phoneticPr fontId="1" type="noConversion"/>
  </si>
  <si>
    <t>流水号：</t>
    <phoneticPr fontId="1" type="noConversion"/>
  </si>
  <si>
    <t>生产厂家：</t>
    <phoneticPr fontId="1" type="noConversion"/>
  </si>
  <si>
    <t>量程：</t>
    <phoneticPr fontId="1" type="noConversion"/>
  </si>
  <si>
    <t>精度等级：</t>
    <phoneticPr fontId="1" type="noConversion"/>
  </si>
  <si>
    <t>出厂编号：</t>
    <phoneticPr fontId="1" type="noConversion"/>
  </si>
  <si>
    <t>送检单位：</t>
    <phoneticPr fontId="1" type="noConversion"/>
  </si>
  <si>
    <t>分度值：</t>
    <phoneticPr fontId="1" type="noConversion"/>
  </si>
  <si>
    <t>检测点数:</t>
    <phoneticPr fontId="1" type="noConversion"/>
  </si>
  <si>
    <t>安斯泰来制药(中国)有限公司</t>
    <phoneticPr fontId="1" type="noConversion"/>
  </si>
  <si>
    <t>E1710310062_001</t>
    <phoneticPr fontId="1" type="noConversion"/>
  </si>
  <si>
    <t>上海减压器厂</t>
    <phoneticPr fontId="1" type="noConversion"/>
  </si>
  <si>
    <t>07.7.00236</t>
    <phoneticPr fontId="1" type="noConversion"/>
  </si>
  <si>
    <t>检定所使用的计量标准</t>
    <phoneticPr fontId="1" type="noConversion"/>
  </si>
  <si>
    <t>压力表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</si>
</sst>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_ "/>
    <numFmt numFmtId="165" formatCode="0.00_ "/>
    <numFmt numFmtId="166" formatCode="0.000_ "/>
  </numFmts>
  <fonts count="14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b/>
      <sz val="14"/>
      <color theme="1"/>
      <name val="Calibri"/>
      <family val="3"/>
      <charset val="134"/>
      <scheme val="minor"/>
    </font>
    <font>
      <sz val="11"/>
      <name val="Calibri"/>
      <family val="2"/>
      <charset val="134"/>
      <scheme val="minor"/>
    </font>
    <font>
      <sz val="9"/>
      <color theme="1"/>
      <name val="Calibri"/>
      <family val="2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sz val="10"/>
      <color theme="1"/>
      <name val="Calibri"/>
      <family val="2"/>
      <charset val="134"/>
      <scheme val="minor"/>
    </font>
    <font>
      <sz val="10"/>
      <color theme="1"/>
      <name val="Calibri"/>
      <family val="3"/>
      <charset val="134"/>
      <scheme val="minor"/>
    </font>
    <font>
      <b/>
      <sz val="12"/>
      <color theme="1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0"/>
      <name val="Calibri"/>
      <family val="2"/>
      <charset val="134"/>
      <scheme val="minor"/>
    </font>
    <font>
      <sz val="10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13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5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6" xfId="0" applyBorder="1">
      <alignment vertical="center"/>
    </xf>
    <xf numFmtId="0" fontId="4" fillId="0" borderId="5" xfId="0" applyFont="1" applyBorder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8" xfId="0" applyBorder="1">
      <alignment vertical="center"/>
    </xf>
    <xf numFmtId="0" fontId="0" fillId="0" borderId="14" xfId="0" applyBorder="1">
      <alignment vertical="center"/>
    </xf>
    <xf numFmtId="0" fontId="4" fillId="0" borderId="17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0" fillId="0" borderId="9" xfId="0" applyBorder="1" applyAlignment="1">
      <alignment horizontal="distributed" vertical="center"/>
    </xf>
    <xf numFmtId="0" fontId="0" fillId="0" borderId="11" xfId="0" applyBorder="1" applyAlignment="1">
      <alignment horizontal="distributed" vertical="center"/>
    </xf>
    <xf numFmtId="0" fontId="0" fillId="0" borderId="19" xfId="0" applyBorder="1" applyAlignment="1">
      <alignment horizontal="distributed" vertical="center"/>
    </xf>
    <xf numFmtId="0" fontId="4" fillId="0" borderId="17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164" fontId="7" fillId="0" borderId="17" xfId="0" applyNumberFormat="1" applyFont="1" applyBorder="1" applyAlignment="1">
      <alignment vertical="center"/>
    </xf>
    <xf numFmtId="0" fontId="10" fillId="0" borderId="1" xfId="0" applyFont="1" applyBorder="1">
      <alignment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10" fillId="0" borderId="1" xfId="0" applyFont="1" applyFill="1" applyBorder="1">
      <alignment vertical="center"/>
    </xf>
    <xf numFmtId="0" fontId="0" fillId="0" borderId="3" xfId="0" applyBorder="1" applyAlignment="1">
      <alignment vertical="center"/>
    </xf>
    <xf numFmtId="0" fontId="10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16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7" fillId="0" borderId="17" xfId="0" applyFont="1" applyBorder="1">
      <alignment vertical="center"/>
    </xf>
    <xf numFmtId="0" fontId="8" fillId="0" borderId="23" xfId="0" applyFont="1" applyBorder="1" applyAlignment="1">
      <alignment horizontal="right" vertical="center"/>
    </xf>
    <xf numFmtId="0" fontId="9" fillId="0" borderId="24" xfId="0" applyFont="1" applyBorder="1" applyAlignment="1">
      <alignment horizontal="right" vertical="center"/>
    </xf>
    <xf numFmtId="0" fontId="9" fillId="0" borderId="25" xfId="0" applyFont="1" applyBorder="1" applyAlignment="1">
      <alignment horizontal="right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distributed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distributed" vertical="center"/>
    </xf>
    <xf numFmtId="0" fontId="0" fillId="0" borderId="2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4" fillId="0" borderId="5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6" xfId="0" applyBorder="1" applyAlignment="1">
      <alignment horizontal="distributed" vertical="center"/>
    </xf>
    <xf numFmtId="0" fontId="0" fillId="0" borderId="15" xfId="0" applyBorder="1" applyAlignment="1">
      <alignment horizontal="distributed" vertical="center"/>
    </xf>
    <xf numFmtId="0" fontId="11" fillId="0" borderId="9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1" fillId="0" borderId="2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2" fillId="0" borderId="1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4" fillId="0" borderId="15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27" xfId="0" applyBorder="1">
      <alignment vertical="center"/>
    </xf>
    <xf numFmtId="0" fontId="0" fillId="0" borderId="30" xfId="0" applyBorder="1">
      <alignment vertical="center"/>
    </xf>
    <xf numFmtId="0" fontId="4" fillId="0" borderId="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right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14" fontId="7" fillId="0" borderId="15" xfId="0" applyNumberFormat="1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5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30</xdr:row>
      <xdr:rowOff>47625</xdr:rowOff>
    </xdr:from>
    <xdr:to>
      <xdr:col>15</xdr:col>
      <xdr:colOff>228600</xdr:colOff>
      <xdr:row>33</xdr:row>
      <xdr:rowOff>200025</xdr:rowOff>
    </xdr:to>
    <xdr:sp macro="" textlink="">
      <xdr:nvSpPr>
        <xdr:cNvPr id="3" name="任意多边形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7150" y="6991350"/>
          <a:ext cx="6515100" cy="838200"/>
        </a:xfrm>
        <a:custGeom>
          <a:avLst/>
          <a:gdLst>
            <a:gd name="connsiteX0" fmla="*/ 0 w 6515100"/>
            <a:gd name="connsiteY0" fmla="*/ 838200 h 838200"/>
            <a:gd name="connsiteX1" fmla="*/ 2181225 w 6515100"/>
            <a:gd name="connsiteY1" fmla="*/ 219075 h 838200"/>
            <a:gd name="connsiteX2" fmla="*/ 4000500 w 6515100"/>
            <a:gd name="connsiteY2" fmla="*/ 514350 h 838200"/>
            <a:gd name="connsiteX3" fmla="*/ 6515100 w 6515100"/>
            <a:gd name="connsiteY3" fmla="*/ 0 h 8382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6515100" h="838200">
              <a:moveTo>
                <a:pt x="0" y="838200"/>
              </a:moveTo>
              <a:cubicBezTo>
                <a:pt x="757237" y="555625"/>
                <a:pt x="1514475" y="273050"/>
                <a:pt x="2181225" y="219075"/>
              </a:cubicBezTo>
              <a:cubicBezTo>
                <a:pt x="2847975" y="165100"/>
                <a:pt x="3278188" y="550862"/>
                <a:pt x="4000500" y="514350"/>
              </a:cubicBezTo>
              <a:cubicBezTo>
                <a:pt x="4722812" y="477838"/>
                <a:pt x="5618956" y="238919"/>
                <a:pt x="6515100" y="0"/>
              </a:cubicBezTo>
            </a:path>
          </a:pathLst>
        </a:cu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30</xdr:row>
      <xdr:rowOff>47625</xdr:rowOff>
    </xdr:from>
    <xdr:to>
      <xdr:col>15</xdr:col>
      <xdr:colOff>228600</xdr:colOff>
      <xdr:row>33</xdr:row>
      <xdr:rowOff>200025</xdr:rowOff>
    </xdr:to>
    <xdr:sp macro="" textlink="">
      <xdr:nvSpPr>
        <xdr:cNvPr id="6" name="任意多边形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57150" y="6991350"/>
          <a:ext cx="6515100" cy="838200"/>
        </a:xfrm>
        <a:custGeom>
          <a:avLst/>
          <a:gdLst>
            <a:gd name="connsiteX0" fmla="*/ 0 w 6515100"/>
            <a:gd name="connsiteY0" fmla="*/ 838200 h 838200"/>
            <a:gd name="connsiteX1" fmla="*/ 2181225 w 6515100"/>
            <a:gd name="connsiteY1" fmla="*/ 219075 h 838200"/>
            <a:gd name="connsiteX2" fmla="*/ 4000500 w 6515100"/>
            <a:gd name="connsiteY2" fmla="*/ 514350 h 838200"/>
            <a:gd name="connsiteX3" fmla="*/ 6515100 w 6515100"/>
            <a:gd name="connsiteY3" fmla="*/ 0 h 8382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6515100" h="838200">
              <a:moveTo>
                <a:pt x="0" y="838200"/>
              </a:moveTo>
              <a:cubicBezTo>
                <a:pt x="757237" y="555625"/>
                <a:pt x="1514475" y="273050"/>
                <a:pt x="2181225" y="219075"/>
              </a:cubicBezTo>
              <a:cubicBezTo>
                <a:pt x="2847975" y="165100"/>
                <a:pt x="3278188" y="550862"/>
                <a:pt x="4000500" y="514350"/>
              </a:cubicBezTo>
              <a:cubicBezTo>
                <a:pt x="4722812" y="477838"/>
                <a:pt x="5618956" y="238919"/>
                <a:pt x="6515100" y="0"/>
              </a:cubicBezTo>
            </a:path>
          </a:pathLst>
        </a:cu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30</xdr:row>
      <xdr:rowOff>47625</xdr:rowOff>
    </xdr:from>
    <xdr:to>
      <xdr:col>15</xdr:col>
      <xdr:colOff>228600</xdr:colOff>
      <xdr:row>33</xdr:row>
      <xdr:rowOff>200025</xdr:rowOff>
    </xdr:to>
    <xdr:sp macro="" textlink="">
      <xdr:nvSpPr>
        <xdr:cNvPr id="2" name="任意多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57150" y="6991350"/>
          <a:ext cx="6515100" cy="838200"/>
        </a:xfrm>
        <a:custGeom>
          <a:avLst/>
          <a:gdLst>
            <a:gd name="connsiteX0" fmla="*/ 0 w 6515100"/>
            <a:gd name="connsiteY0" fmla="*/ 838200 h 838200"/>
            <a:gd name="connsiteX1" fmla="*/ 2181225 w 6515100"/>
            <a:gd name="connsiteY1" fmla="*/ 219075 h 838200"/>
            <a:gd name="connsiteX2" fmla="*/ 4000500 w 6515100"/>
            <a:gd name="connsiteY2" fmla="*/ 514350 h 838200"/>
            <a:gd name="connsiteX3" fmla="*/ 6515100 w 6515100"/>
            <a:gd name="connsiteY3" fmla="*/ 0 h 8382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6515100" h="838200">
              <a:moveTo>
                <a:pt x="0" y="838200"/>
              </a:moveTo>
              <a:cubicBezTo>
                <a:pt x="757237" y="555625"/>
                <a:pt x="1514475" y="273050"/>
                <a:pt x="2181225" y="219075"/>
              </a:cubicBezTo>
              <a:cubicBezTo>
                <a:pt x="2847975" y="165100"/>
                <a:pt x="3278188" y="550862"/>
                <a:pt x="4000500" y="514350"/>
              </a:cubicBezTo>
              <a:cubicBezTo>
                <a:pt x="4722812" y="477838"/>
                <a:pt x="5618956" y="238919"/>
                <a:pt x="6515100" y="0"/>
              </a:cubicBezTo>
            </a:path>
          </a:pathLst>
        </a:cu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0"/>
  <sheetViews>
    <sheetView workbookViewId="0">
      <selection activeCell="B4" sqref="B4:H4"/>
    </sheetView>
  </sheetViews>
  <sheetFormatPr defaultRowHeight="15"/>
  <cols>
    <col min="1" max="1" width="12.7109375" customWidth="1"/>
    <col min="2" max="2" width="4.28515625" customWidth="1"/>
    <col min="3" max="3" width="4.42578125" customWidth="1"/>
    <col min="4" max="9" width="5.140625" customWidth="1"/>
    <col min="10" max="10" width="5.85546875" customWidth="1"/>
    <col min="11" max="11" width="4.7109375" customWidth="1"/>
    <col min="12" max="16" width="5.140625" customWidth="1"/>
    <col min="18" max="18" width="12.140625" customWidth="1"/>
    <col min="19" max="28" width="4.5703125" customWidth="1"/>
  </cols>
  <sheetData>
    <row r="1" spans="1:28" ht="18" customHeight="1">
      <c r="A1" s="48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50"/>
      <c r="Q1" s="1"/>
    </row>
    <row r="2" spans="1:28" ht="24.95" customHeight="1" thickBot="1">
      <c r="A2" s="51" t="s">
        <v>1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3"/>
      <c r="Q2" s="1"/>
    </row>
    <row r="3" spans="1:28" ht="18" customHeight="1">
      <c r="A3" s="30" t="s">
        <v>2</v>
      </c>
      <c r="B3" s="54"/>
      <c r="C3" s="54"/>
      <c r="D3" s="54"/>
      <c r="E3" s="54"/>
      <c r="F3" s="54"/>
      <c r="G3" s="54"/>
      <c r="H3" s="54"/>
      <c r="I3" s="55" t="s">
        <v>8</v>
      </c>
      <c r="J3" s="55"/>
      <c r="K3" s="55"/>
      <c r="L3" s="56" t="str">
        <f>S5</f>
        <v>E1710310062_001</v>
      </c>
      <c r="M3" s="57"/>
      <c r="N3" s="57"/>
      <c r="O3" s="57"/>
      <c r="P3" s="58"/>
    </row>
    <row r="4" spans="1:28" ht="18" customHeight="1">
      <c r="A4" s="31" t="s">
        <v>46</v>
      </c>
      <c r="B4" s="59" t="str">
        <f>S4</f>
        <v>安斯泰来制药(中国)有限公司</v>
      </c>
      <c r="C4" s="60"/>
      <c r="D4" s="60"/>
      <c r="E4" s="60"/>
      <c r="F4" s="60"/>
      <c r="G4" s="60"/>
      <c r="H4" s="61"/>
      <c r="I4" s="62" t="s">
        <v>49</v>
      </c>
      <c r="J4" s="62"/>
      <c r="K4" s="62"/>
      <c r="L4" s="63"/>
      <c r="M4" s="64"/>
      <c r="N4" s="65" t="s">
        <v>102</v>
      </c>
      <c r="O4" s="66"/>
      <c r="P4" s="67"/>
      <c r="R4" s="36" t="s">
        <v>94</v>
      </c>
      <c r="S4" s="79" t="s">
        <v>97</v>
      </c>
      <c r="T4" s="80"/>
      <c r="U4" s="80"/>
      <c r="V4" s="80"/>
      <c r="W4" s="80"/>
      <c r="X4" s="80"/>
      <c r="Y4" s="80"/>
      <c r="Z4" s="80"/>
      <c r="AA4" s="80"/>
      <c r="AB4" s="80"/>
    </row>
    <row r="5" spans="1:28" ht="18" customHeight="1">
      <c r="A5" s="31" t="s">
        <v>47</v>
      </c>
      <c r="B5" s="59" t="str">
        <f>S6</f>
        <v>上海减压器厂</v>
      </c>
      <c r="C5" s="60"/>
      <c r="D5" s="60"/>
      <c r="E5" s="60"/>
      <c r="F5" s="60"/>
      <c r="G5" s="60"/>
      <c r="H5" s="61"/>
      <c r="I5" s="62" t="s">
        <v>9</v>
      </c>
      <c r="J5" s="62"/>
      <c r="K5" s="62"/>
      <c r="L5" s="81" t="s">
        <v>62</v>
      </c>
      <c r="M5" s="82"/>
      <c r="N5" s="82"/>
      <c r="O5" s="82"/>
      <c r="P5" s="83"/>
      <c r="R5" s="36" t="s">
        <v>89</v>
      </c>
      <c r="S5" s="79" t="s">
        <v>98</v>
      </c>
      <c r="T5" s="80"/>
      <c r="U5" s="80"/>
      <c r="V5" s="80"/>
      <c r="W5" s="80"/>
      <c r="X5" s="80"/>
      <c r="Y5" s="80"/>
      <c r="Z5" s="80"/>
      <c r="AA5" s="80"/>
      <c r="AB5" s="80"/>
    </row>
    <row r="6" spans="1:28" ht="18" customHeight="1">
      <c r="A6" s="31" t="s">
        <v>3</v>
      </c>
      <c r="B6" s="28" t="s">
        <v>41</v>
      </c>
      <c r="C6" s="15">
        <v>0</v>
      </c>
      <c r="D6" s="15" t="s">
        <v>15</v>
      </c>
      <c r="E6" s="15">
        <f>V7</f>
        <v>0.16</v>
      </c>
      <c r="F6" s="5" t="s">
        <v>50</v>
      </c>
      <c r="G6" s="21" t="str">
        <f>X7</f>
        <v>MPa</v>
      </c>
      <c r="H6" s="4"/>
      <c r="I6" s="62" t="s">
        <v>55</v>
      </c>
      <c r="J6" s="62"/>
      <c r="K6" s="62"/>
      <c r="L6" s="84" t="s">
        <v>13</v>
      </c>
      <c r="M6" s="84"/>
      <c r="N6" s="84"/>
      <c r="O6" s="84"/>
      <c r="P6" s="85"/>
      <c r="R6" s="36" t="s">
        <v>90</v>
      </c>
      <c r="S6" s="79" t="s">
        <v>99</v>
      </c>
      <c r="T6" s="80"/>
      <c r="U6" s="80"/>
      <c r="V6" s="80"/>
      <c r="W6" s="80"/>
      <c r="X6" s="80"/>
      <c r="Y6" s="80"/>
      <c r="Z6" s="80"/>
      <c r="AA6" s="80"/>
      <c r="AB6" s="80"/>
    </row>
    <row r="7" spans="1:28" ht="18" customHeight="1">
      <c r="A7" s="31" t="s">
        <v>51</v>
      </c>
      <c r="B7" s="28" t="s">
        <v>41</v>
      </c>
      <c r="C7" s="15">
        <f>C6</f>
        <v>0</v>
      </c>
      <c r="D7" s="15" t="s">
        <v>15</v>
      </c>
      <c r="E7" s="15">
        <f>E6</f>
        <v>0.16</v>
      </c>
      <c r="F7" s="5" t="s">
        <v>50</v>
      </c>
      <c r="G7" s="21" t="str">
        <f>G6</f>
        <v>MPa</v>
      </c>
      <c r="H7" s="4"/>
      <c r="I7" s="62" t="s">
        <v>10</v>
      </c>
      <c r="J7" s="62"/>
      <c r="K7" s="62"/>
      <c r="L7" s="28" t="s">
        <v>54</v>
      </c>
      <c r="M7" s="68">
        <f>(E6-C6)*C8/100</f>
        <v>2.5600000000000002E-3</v>
      </c>
      <c r="N7" s="63"/>
      <c r="O7" s="21" t="str">
        <f>G6</f>
        <v>MPa</v>
      </c>
      <c r="P7" s="6"/>
      <c r="R7" s="36" t="s">
        <v>91</v>
      </c>
      <c r="S7" s="28" t="s">
        <v>41</v>
      </c>
      <c r="T7" s="15">
        <v>0</v>
      </c>
      <c r="U7" s="15" t="s">
        <v>15</v>
      </c>
      <c r="V7" s="42">
        <v>0.16</v>
      </c>
      <c r="W7" s="37" t="s">
        <v>50</v>
      </c>
      <c r="X7" s="69" t="s">
        <v>48</v>
      </c>
      <c r="Y7" s="70"/>
      <c r="Z7" s="5"/>
      <c r="AA7" s="5"/>
      <c r="AB7" s="4"/>
    </row>
    <row r="8" spans="1:28" ht="18" customHeight="1">
      <c r="A8" s="31" t="s">
        <v>4</v>
      </c>
      <c r="B8" s="3"/>
      <c r="C8" s="71">
        <f>S8</f>
        <v>1.6</v>
      </c>
      <c r="D8" s="72"/>
      <c r="E8" s="73" t="s">
        <v>38</v>
      </c>
      <c r="F8" s="74"/>
      <c r="G8" s="5"/>
      <c r="H8" s="4"/>
      <c r="I8" s="62" t="s">
        <v>11</v>
      </c>
      <c r="J8" s="62"/>
      <c r="K8" s="62"/>
      <c r="L8" s="75">
        <f>S10</f>
        <v>5.0000000000000001E-3</v>
      </c>
      <c r="M8" s="75"/>
      <c r="N8" s="76"/>
      <c r="O8" s="21" t="str">
        <f>G6</f>
        <v>MPa</v>
      </c>
      <c r="P8" s="6"/>
      <c r="R8" s="36" t="s">
        <v>92</v>
      </c>
      <c r="S8" s="77">
        <v>1.6</v>
      </c>
      <c r="T8" s="78"/>
      <c r="U8" s="5" t="s">
        <v>38</v>
      </c>
      <c r="V8" s="5"/>
      <c r="W8" s="5"/>
      <c r="X8" s="5"/>
      <c r="Y8" s="5"/>
      <c r="Z8" s="5"/>
      <c r="AA8" s="5"/>
      <c r="AB8" s="4"/>
    </row>
    <row r="9" spans="1:28" ht="18" customHeight="1" thickBot="1">
      <c r="A9" s="32" t="s">
        <v>5</v>
      </c>
      <c r="B9" s="89" t="str">
        <f>S9</f>
        <v>07.7.00236</v>
      </c>
      <c r="C9" s="89"/>
      <c r="D9" s="89"/>
      <c r="E9" s="89"/>
      <c r="F9" s="89"/>
      <c r="G9" s="89"/>
      <c r="H9" s="90" t="s">
        <v>52</v>
      </c>
      <c r="I9" s="91"/>
      <c r="J9" s="44">
        <v>20.5</v>
      </c>
      <c r="K9" s="9" t="s">
        <v>53</v>
      </c>
      <c r="L9" s="90" t="s">
        <v>12</v>
      </c>
      <c r="M9" s="91"/>
      <c r="N9" s="45">
        <v>50</v>
      </c>
      <c r="O9" s="16" t="s">
        <v>14</v>
      </c>
      <c r="P9" s="8"/>
      <c r="R9" s="36" t="s">
        <v>93</v>
      </c>
      <c r="S9" s="79" t="s">
        <v>100</v>
      </c>
      <c r="T9" s="79"/>
      <c r="U9" s="79"/>
      <c r="V9" s="79"/>
      <c r="W9" s="79"/>
      <c r="X9" s="79"/>
      <c r="Y9" s="79"/>
      <c r="Z9" s="79"/>
      <c r="AA9" s="79"/>
      <c r="AB9" s="79"/>
    </row>
    <row r="10" spans="1:28" ht="18" customHeight="1">
      <c r="A10" s="92" t="s">
        <v>101</v>
      </c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4"/>
      <c r="R10" s="39" t="s">
        <v>95</v>
      </c>
      <c r="S10" s="87">
        <v>5.0000000000000001E-3</v>
      </c>
      <c r="T10" s="88"/>
      <c r="U10" s="38"/>
      <c r="V10" s="38"/>
      <c r="W10" s="38"/>
      <c r="X10" s="38"/>
      <c r="Y10" s="38"/>
      <c r="Z10" s="38"/>
      <c r="AA10" s="38"/>
      <c r="AB10" s="40"/>
    </row>
    <row r="11" spans="1:28" ht="18" customHeight="1">
      <c r="A11" s="86" t="s">
        <v>6</v>
      </c>
      <c r="B11" s="84"/>
      <c r="C11" s="84"/>
      <c r="D11" s="84"/>
      <c r="E11" s="84"/>
      <c r="F11" s="84" t="s">
        <v>4</v>
      </c>
      <c r="G11" s="84"/>
      <c r="H11" s="84"/>
      <c r="I11" s="84"/>
      <c r="J11" s="84" t="s">
        <v>2</v>
      </c>
      <c r="K11" s="84"/>
      <c r="L11" s="84"/>
      <c r="M11" s="84"/>
      <c r="N11" s="84"/>
      <c r="O11" s="84"/>
      <c r="P11" s="85"/>
      <c r="R11" s="36" t="s">
        <v>96</v>
      </c>
      <c r="S11" s="87">
        <v>4</v>
      </c>
      <c r="T11" s="88"/>
      <c r="U11" s="5"/>
      <c r="V11" s="5"/>
      <c r="W11" s="5"/>
      <c r="X11" s="5"/>
      <c r="Y11" s="5"/>
      <c r="Z11" s="5"/>
      <c r="AA11" s="5"/>
      <c r="AB11" s="4"/>
    </row>
    <row r="12" spans="1:28" ht="18" customHeight="1">
      <c r="A12" s="86" t="s">
        <v>7</v>
      </c>
      <c r="B12" s="84"/>
      <c r="C12" s="84"/>
      <c r="D12" s="84"/>
      <c r="E12" s="84"/>
      <c r="F12" s="84" t="s">
        <v>16</v>
      </c>
      <c r="G12" s="84"/>
      <c r="H12" s="84"/>
      <c r="I12" s="84"/>
      <c r="J12" s="84" t="s">
        <v>17</v>
      </c>
      <c r="K12" s="84"/>
      <c r="L12" s="84"/>
      <c r="M12" s="84"/>
      <c r="N12" s="84"/>
      <c r="O12" s="84"/>
      <c r="P12" s="85"/>
      <c r="R12" s="41" t="s">
        <v>42</v>
      </c>
      <c r="S12" s="29">
        <v>2017</v>
      </c>
      <c r="T12" s="15" t="s">
        <v>76</v>
      </c>
      <c r="U12" s="42">
        <v>11</v>
      </c>
      <c r="V12" s="15" t="s">
        <v>75</v>
      </c>
      <c r="W12" s="42">
        <v>1</v>
      </c>
      <c r="X12" s="15" t="s">
        <v>74</v>
      </c>
      <c r="Y12" s="5"/>
      <c r="Z12" s="5"/>
      <c r="AA12" s="5"/>
      <c r="AB12" s="4"/>
    </row>
    <row r="13" spans="1:28" ht="18" customHeight="1">
      <c r="A13" s="95" t="s">
        <v>39</v>
      </c>
      <c r="B13" s="96"/>
      <c r="C13" s="96"/>
      <c r="D13" s="74"/>
      <c r="E13" s="5" t="s">
        <v>56</v>
      </c>
      <c r="F13" s="21" t="s">
        <v>67</v>
      </c>
      <c r="G13" s="5" t="s">
        <v>57</v>
      </c>
      <c r="H13" s="5" t="s">
        <v>66</v>
      </c>
      <c r="I13" s="5" t="s">
        <v>58</v>
      </c>
      <c r="J13" s="5" t="s">
        <v>59</v>
      </c>
      <c r="K13" s="73" t="s">
        <v>60</v>
      </c>
      <c r="L13" s="96"/>
      <c r="M13" s="96"/>
      <c r="N13" s="96"/>
      <c r="O13" s="96"/>
      <c r="P13" s="97"/>
    </row>
    <row r="14" spans="1:28" ht="18" customHeight="1">
      <c r="A14" s="95" t="s">
        <v>40</v>
      </c>
      <c r="B14" s="96"/>
      <c r="C14" s="96"/>
      <c r="D14" s="74"/>
      <c r="E14" s="5" t="s">
        <v>56</v>
      </c>
      <c r="F14" s="21" t="s">
        <v>67</v>
      </c>
      <c r="G14" s="5" t="s">
        <v>57</v>
      </c>
      <c r="H14" s="5" t="s">
        <v>66</v>
      </c>
      <c r="I14" s="5" t="s">
        <v>58</v>
      </c>
      <c r="J14" s="5" t="s">
        <v>59</v>
      </c>
      <c r="K14" s="73" t="s">
        <v>60</v>
      </c>
      <c r="L14" s="96"/>
      <c r="M14" s="96"/>
      <c r="N14" s="96"/>
      <c r="O14" s="96"/>
      <c r="P14" s="97"/>
      <c r="Z14" s="1"/>
    </row>
    <row r="15" spans="1:28" ht="18" customHeight="1">
      <c r="A15" s="95" t="s">
        <v>61</v>
      </c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7"/>
    </row>
    <row r="16" spans="1:28" ht="18" customHeight="1">
      <c r="A16" s="98" t="str">
        <f>IF(X7="MPa","活塞式压力计","便携式数字压力校验仪")</f>
        <v>活塞式压力计</v>
      </c>
      <c r="B16" s="99"/>
      <c r="C16" s="61" t="s">
        <v>63</v>
      </c>
      <c r="D16" s="59"/>
      <c r="E16" s="100" t="str">
        <f>IF((A16="活塞式压力计")*AND(E6&lt;=0.6),"(0.04～0.6)MPa",IF(A16="便携式数字压力校验仪","DPI610","(0.1～6)MPa"))</f>
        <v>(0.04～0.6)MPa</v>
      </c>
      <c r="F16" s="101"/>
      <c r="G16" s="101"/>
      <c r="H16" s="99"/>
      <c r="I16" s="5" t="s">
        <v>64</v>
      </c>
      <c r="J16" s="100" t="str">
        <f>IF(E16="DPI610","SH61000289",IF(E16="(0.04～0.6)MPa","90045","80005"))</f>
        <v>90045</v>
      </c>
      <c r="K16" s="99"/>
      <c r="L16" s="61" t="s">
        <v>65</v>
      </c>
      <c r="M16" s="59"/>
      <c r="N16" s="100" t="str">
        <f>IF(E16="DPI610","16020541055",IF(E16="(0.04～0.6)MPa","16020511570","16020511568"))</f>
        <v>16020511570</v>
      </c>
      <c r="O16" s="101"/>
      <c r="P16" s="102"/>
    </row>
    <row r="17" spans="1:21" ht="18" customHeight="1" thickBot="1">
      <c r="A17" s="103" t="s">
        <v>68</v>
      </c>
      <c r="B17" s="104"/>
      <c r="C17" s="105" t="str">
        <f>IF(E16="DPI610","2017-10-11","2018-04-04")</f>
        <v>2018-04-04</v>
      </c>
      <c r="D17" s="106"/>
      <c r="E17" s="107"/>
      <c r="F17" s="108" t="s">
        <v>69</v>
      </c>
      <c r="G17" s="89"/>
      <c r="H17" s="104"/>
      <c r="I17" s="7" t="s">
        <v>56</v>
      </c>
      <c r="J17" s="26" t="s">
        <v>67</v>
      </c>
      <c r="K17" s="7" t="s">
        <v>57</v>
      </c>
      <c r="L17" s="7" t="s">
        <v>70</v>
      </c>
      <c r="M17" s="7" t="s">
        <v>59</v>
      </c>
      <c r="N17" s="109" t="s">
        <v>71</v>
      </c>
      <c r="O17" s="110"/>
      <c r="P17" s="111"/>
    </row>
    <row r="18" spans="1:21" ht="18" customHeight="1">
      <c r="A18" s="112" t="s">
        <v>18</v>
      </c>
      <c r="B18" s="113"/>
      <c r="C18" s="113"/>
      <c r="D18" s="114"/>
      <c r="E18" s="115" t="s">
        <v>26</v>
      </c>
      <c r="F18" s="116"/>
      <c r="G18" s="20"/>
      <c r="H18" s="117" t="s">
        <v>20</v>
      </c>
      <c r="I18" s="117"/>
      <c r="J18" s="117"/>
      <c r="K18" s="117"/>
      <c r="L18" s="115" t="s">
        <v>26</v>
      </c>
      <c r="M18" s="116"/>
      <c r="N18" s="24"/>
      <c r="O18" s="24"/>
      <c r="P18" s="25"/>
    </row>
    <row r="19" spans="1:21" ht="18" customHeight="1">
      <c r="A19" s="86" t="s">
        <v>19</v>
      </c>
      <c r="B19" s="84"/>
      <c r="C19" s="84"/>
      <c r="D19" s="84"/>
      <c r="E19" s="115" t="s">
        <v>72</v>
      </c>
      <c r="F19" s="116"/>
      <c r="G19" s="5"/>
      <c r="H19" s="5"/>
      <c r="I19" s="5"/>
      <c r="J19" s="5"/>
      <c r="K19" s="4"/>
      <c r="L19" s="84" t="s">
        <v>73</v>
      </c>
      <c r="M19" s="84"/>
      <c r="N19" s="119" t="str">
        <f>G6</f>
        <v>MPa</v>
      </c>
      <c r="O19" s="120"/>
      <c r="P19" s="121"/>
    </row>
    <row r="20" spans="1:21" ht="18" customHeight="1">
      <c r="A20" s="86" t="s">
        <v>21</v>
      </c>
      <c r="B20" s="84"/>
      <c r="C20" s="84" t="s">
        <v>44</v>
      </c>
      <c r="D20" s="84"/>
      <c r="E20" s="84"/>
      <c r="F20" s="84"/>
      <c r="G20" s="84"/>
      <c r="H20" s="84"/>
      <c r="I20" s="84" t="s">
        <v>45</v>
      </c>
      <c r="J20" s="84"/>
      <c r="K20" s="84"/>
      <c r="L20" s="84"/>
      <c r="M20" s="122" t="s">
        <v>24</v>
      </c>
      <c r="N20" s="122"/>
      <c r="O20" s="122" t="s">
        <v>25</v>
      </c>
      <c r="P20" s="123"/>
    </row>
    <row r="21" spans="1:21" ht="18" customHeight="1">
      <c r="A21" s="86"/>
      <c r="B21" s="84"/>
      <c r="C21" s="84" t="s">
        <v>22</v>
      </c>
      <c r="D21" s="84"/>
      <c r="E21" s="84"/>
      <c r="F21" s="84" t="s">
        <v>23</v>
      </c>
      <c r="G21" s="84"/>
      <c r="H21" s="84"/>
      <c r="I21" s="84" t="s">
        <v>22</v>
      </c>
      <c r="J21" s="84"/>
      <c r="K21" s="84" t="s">
        <v>23</v>
      </c>
      <c r="L21" s="84"/>
      <c r="M21" s="122"/>
      <c r="N21" s="122"/>
      <c r="O21" s="122"/>
      <c r="P21" s="123"/>
    </row>
    <row r="22" spans="1:21" ht="18" customHeight="1">
      <c r="A22" s="125">
        <f>E6/S11</f>
        <v>0.04</v>
      </c>
      <c r="B22" s="118"/>
      <c r="C22" s="118">
        <f ca="1">IF(ABS(S22*S29)&lt;=M7,A22+S22*S29,A22)</f>
        <v>0.04</v>
      </c>
      <c r="D22" s="118"/>
      <c r="E22" s="118"/>
      <c r="F22" s="118">
        <f t="shared" ref="F22:F27" ca="1" si="0">C22</f>
        <v>0.04</v>
      </c>
      <c r="G22" s="118"/>
      <c r="H22" s="118"/>
      <c r="I22" s="118">
        <v>0</v>
      </c>
      <c r="J22" s="118"/>
      <c r="K22" s="118">
        <v>0</v>
      </c>
      <c r="L22" s="118"/>
      <c r="M22" s="118">
        <f ca="1">C22-A22</f>
        <v>0</v>
      </c>
      <c r="N22" s="118"/>
      <c r="O22" s="118">
        <v>0</v>
      </c>
      <c r="P22" s="124"/>
      <c r="R22" t="s">
        <v>81</v>
      </c>
      <c r="S22">
        <f ca="1">IF(ABS(U22)*S29&lt;=M7,U22,0)</f>
        <v>0</v>
      </c>
      <c r="T22" t="s">
        <v>80</v>
      </c>
      <c r="U22">
        <f ca="1">ROUND((RAND()-0.5)*10,0)</f>
        <v>-4</v>
      </c>
    </row>
    <row r="23" spans="1:21" ht="18" customHeight="1">
      <c r="A23" s="125">
        <f>A22*2</f>
        <v>0.08</v>
      </c>
      <c r="B23" s="118"/>
      <c r="C23" s="118">
        <f ca="1">A23+S23*S29</f>
        <v>0.08</v>
      </c>
      <c r="D23" s="118"/>
      <c r="E23" s="118"/>
      <c r="F23" s="118">
        <f t="shared" ca="1" si="0"/>
        <v>0.08</v>
      </c>
      <c r="G23" s="118"/>
      <c r="H23" s="118"/>
      <c r="I23" s="118">
        <v>0</v>
      </c>
      <c r="J23" s="118"/>
      <c r="K23" s="118">
        <v>0</v>
      </c>
      <c r="L23" s="118"/>
      <c r="M23" s="118">
        <f t="shared" ref="M23:M25" ca="1" si="1">C23-A23</f>
        <v>0</v>
      </c>
      <c r="N23" s="118"/>
      <c r="O23" s="118">
        <v>0</v>
      </c>
      <c r="P23" s="124"/>
      <c r="R23" t="s">
        <v>87</v>
      </c>
      <c r="S23">
        <f ca="1">IF((ABS(S22+U23)*S29)&lt;=M7,S22+U23,S22)</f>
        <v>0</v>
      </c>
      <c r="T23" t="s">
        <v>80</v>
      </c>
      <c r="U23">
        <f ca="1">ROUND((RAND()-0.5)*2,0)</f>
        <v>0</v>
      </c>
    </row>
    <row r="24" spans="1:21" ht="18" customHeight="1">
      <c r="A24" s="125">
        <f>A22*3</f>
        <v>0.12</v>
      </c>
      <c r="B24" s="118"/>
      <c r="C24" s="118">
        <f ca="1">A24+S24*S29</f>
        <v>0.12</v>
      </c>
      <c r="D24" s="118"/>
      <c r="E24" s="118"/>
      <c r="F24" s="118">
        <f t="shared" ca="1" si="0"/>
        <v>0.12</v>
      </c>
      <c r="G24" s="118"/>
      <c r="H24" s="118"/>
      <c r="I24" s="118">
        <v>0</v>
      </c>
      <c r="J24" s="118"/>
      <c r="K24" s="118">
        <v>0</v>
      </c>
      <c r="L24" s="118"/>
      <c r="M24" s="118">
        <f t="shared" ca="1" si="1"/>
        <v>0</v>
      </c>
      <c r="N24" s="118"/>
      <c r="O24" s="118">
        <v>0</v>
      </c>
      <c r="P24" s="124"/>
      <c r="R24" t="s">
        <v>83</v>
      </c>
      <c r="S24">
        <f ca="1">IF(ABS(S22+U23+U24)*S29&lt;=M7,S22+U23+U24,S23)</f>
        <v>0</v>
      </c>
      <c r="T24" t="s">
        <v>80</v>
      </c>
      <c r="U24">
        <f ca="1">ROUND((RAND()-0.5)*2,0)</f>
        <v>0</v>
      </c>
    </row>
    <row r="25" spans="1:21" ht="18" customHeight="1">
      <c r="A25" s="125">
        <f>A22*4</f>
        <v>0.16</v>
      </c>
      <c r="B25" s="118"/>
      <c r="C25" s="118">
        <f ca="1">A25+S25*S29</f>
        <v>0.16</v>
      </c>
      <c r="D25" s="118"/>
      <c r="E25" s="118"/>
      <c r="F25" s="118">
        <f t="shared" ca="1" si="0"/>
        <v>0.16</v>
      </c>
      <c r="G25" s="118"/>
      <c r="H25" s="118"/>
      <c r="I25" s="118">
        <v>0</v>
      </c>
      <c r="J25" s="118"/>
      <c r="K25" s="118">
        <v>0</v>
      </c>
      <c r="L25" s="118"/>
      <c r="M25" s="118">
        <f t="shared" ca="1" si="1"/>
        <v>0</v>
      </c>
      <c r="N25" s="118"/>
      <c r="O25" s="118">
        <v>0</v>
      </c>
      <c r="P25" s="124"/>
      <c r="R25" t="s">
        <v>84</v>
      </c>
      <c r="S25">
        <f ca="1">IF(ABS(S22+U24*2+U23)*S29&lt;=M7,S22+U24*2+U23,S24)</f>
        <v>0</v>
      </c>
    </row>
    <row r="26" spans="1:21" ht="18" customHeight="1">
      <c r="A26" s="125" t="str">
        <f>IF(A22*5&lt;=E6,A22*5," ")</f>
        <v xml:space="preserve"> </v>
      </c>
      <c r="B26" s="118"/>
      <c r="C26" s="118" t="str">
        <f>IF(A22*5&lt;=E6,A26+S26*S29," ")</f>
        <v xml:space="preserve"> </v>
      </c>
      <c r="D26" s="118"/>
      <c r="E26" s="118"/>
      <c r="F26" s="118" t="str">
        <f t="shared" si="0"/>
        <v xml:space="preserve"> </v>
      </c>
      <c r="G26" s="118"/>
      <c r="H26" s="118"/>
      <c r="I26" s="118" t="str">
        <f>IF(A22*5&lt;=E6,0," ")</f>
        <v xml:space="preserve"> </v>
      </c>
      <c r="J26" s="118"/>
      <c r="K26" s="118" t="str">
        <f>IF(A22*5&lt;=E6,0," ")</f>
        <v xml:space="preserve"> </v>
      </c>
      <c r="L26" s="118"/>
      <c r="M26" s="118" t="str">
        <f>IF(A22*5&lt;=E6,C26-A26," ")</f>
        <v xml:space="preserve"> </v>
      </c>
      <c r="N26" s="118"/>
      <c r="O26" s="118" t="str">
        <f>IF(A22*5&lt;=E6,0," ")</f>
        <v xml:space="preserve"> </v>
      </c>
      <c r="P26" s="124"/>
      <c r="R26" t="s">
        <v>85</v>
      </c>
      <c r="S26">
        <f ca="1">IF(ABS(S22+U23*2+U24*2)*S29&lt;=M7,S22+U23*2+U24*2,S25)</f>
        <v>0</v>
      </c>
    </row>
    <row r="27" spans="1:21" ht="18" customHeight="1">
      <c r="A27" s="125" t="str">
        <f>IF(A22*6&lt;=E6,A22*6," ")</f>
        <v xml:space="preserve"> </v>
      </c>
      <c r="B27" s="118"/>
      <c r="C27" s="118" t="str">
        <f>IF(A22*6&lt;=E6,A27+S27*S29," ")</f>
        <v xml:space="preserve"> </v>
      </c>
      <c r="D27" s="118"/>
      <c r="E27" s="118"/>
      <c r="F27" s="118" t="str">
        <f t="shared" si="0"/>
        <v xml:space="preserve"> </v>
      </c>
      <c r="G27" s="118"/>
      <c r="H27" s="118"/>
      <c r="I27" s="118" t="str">
        <f>IF(A22*6&lt;=E6,0," ")</f>
        <v xml:space="preserve"> </v>
      </c>
      <c r="J27" s="118"/>
      <c r="K27" s="118" t="str">
        <f>IF(A22*6&lt;=E6,0," ")</f>
        <v xml:space="preserve"> </v>
      </c>
      <c r="L27" s="118"/>
      <c r="M27" s="118" t="str">
        <f>IF(A22*6&lt;=E6,C27-A27," ")</f>
        <v xml:space="preserve"> </v>
      </c>
      <c r="N27" s="118"/>
      <c r="O27" s="118" t="str">
        <f>IF(A22*6&lt;=E6,0," ")</f>
        <v xml:space="preserve"> </v>
      </c>
      <c r="P27" s="124"/>
      <c r="R27" t="s">
        <v>86</v>
      </c>
      <c r="S27">
        <f ca="1">IF(ABS(S22+U23*3+U24*2)*S29&lt;=M7,S22+U23*3+U24*2,S26)</f>
        <v>0</v>
      </c>
    </row>
    <row r="28" spans="1:21" ht="18" customHeight="1">
      <c r="A28" s="95" t="s">
        <v>27</v>
      </c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7"/>
    </row>
    <row r="29" spans="1:21" ht="18" customHeight="1">
      <c r="A29" s="86" t="s">
        <v>28</v>
      </c>
      <c r="B29" s="84"/>
      <c r="C29" s="84" t="s">
        <v>29</v>
      </c>
      <c r="D29" s="84"/>
      <c r="E29" s="84"/>
      <c r="F29" s="84"/>
      <c r="G29" s="84"/>
      <c r="H29" s="84"/>
      <c r="I29" s="84" t="s">
        <v>32</v>
      </c>
      <c r="J29" s="84"/>
      <c r="K29" s="84"/>
      <c r="L29" s="84"/>
      <c r="M29" s="84" t="s">
        <v>33</v>
      </c>
      <c r="N29" s="84"/>
      <c r="O29" s="84" t="s">
        <v>34</v>
      </c>
      <c r="P29" s="85"/>
      <c r="R29" t="s">
        <v>82</v>
      </c>
      <c r="S29">
        <f>L8/5</f>
        <v>1E-3</v>
      </c>
    </row>
    <row r="30" spans="1:21" ht="18" customHeight="1">
      <c r="A30" s="86"/>
      <c r="B30" s="84"/>
      <c r="C30" s="84" t="s">
        <v>30</v>
      </c>
      <c r="D30" s="84"/>
      <c r="E30" s="84"/>
      <c r="F30" s="84" t="s">
        <v>31</v>
      </c>
      <c r="G30" s="84"/>
      <c r="H30" s="84"/>
      <c r="I30" s="84" t="s">
        <v>22</v>
      </c>
      <c r="J30" s="84"/>
      <c r="K30" s="84" t="s">
        <v>23</v>
      </c>
      <c r="L30" s="84"/>
      <c r="M30" s="84"/>
      <c r="N30" s="84"/>
      <c r="O30" s="84"/>
      <c r="P30" s="85"/>
    </row>
    <row r="31" spans="1:21" ht="18" customHeight="1">
      <c r="A31" s="86"/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5"/>
    </row>
    <row r="32" spans="1:21" ht="18" customHeight="1">
      <c r="A32" s="86"/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5"/>
    </row>
    <row r="33" spans="1:16" ht="18" customHeight="1">
      <c r="A33" s="86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5"/>
    </row>
    <row r="34" spans="1:16" ht="18" customHeight="1">
      <c r="A34" s="86"/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5"/>
    </row>
    <row r="35" spans="1:16" ht="18" customHeight="1">
      <c r="A35" s="86" t="s">
        <v>35</v>
      </c>
      <c r="B35" s="84"/>
      <c r="C35" s="84"/>
      <c r="D35" s="84"/>
      <c r="E35" s="84"/>
      <c r="F35" s="84"/>
      <c r="G35" s="84"/>
      <c r="H35" s="84"/>
      <c r="I35" s="84" t="s">
        <v>36</v>
      </c>
      <c r="J35" s="84"/>
      <c r="K35" s="84"/>
      <c r="L35" s="84"/>
      <c r="M35" s="84"/>
      <c r="N35" s="84"/>
      <c r="O35" s="84"/>
      <c r="P35" s="85"/>
    </row>
    <row r="36" spans="1:16" ht="18" customHeight="1">
      <c r="A36" s="86" t="s">
        <v>37</v>
      </c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5"/>
    </row>
    <row r="37" spans="1:16" ht="18" customHeight="1" thickBot="1">
      <c r="A37" s="126" t="s">
        <v>79</v>
      </c>
      <c r="B37" s="127"/>
      <c r="C37" s="33" t="s">
        <v>88</v>
      </c>
      <c r="D37" s="35">
        <f>C8</f>
        <v>1.6</v>
      </c>
      <c r="E37" s="34" t="s">
        <v>38</v>
      </c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3"/>
    </row>
    <row r="38" spans="1:16" ht="18" customHeight="1">
      <c r="A38" s="18"/>
      <c r="B38" s="18"/>
      <c r="C38" s="17"/>
      <c r="D38" s="17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  <row r="39" spans="1:16" ht="18" customHeight="1">
      <c r="A39" s="128" t="s">
        <v>77</v>
      </c>
      <c r="B39" s="128"/>
      <c r="C39" s="128"/>
      <c r="D39" s="128" t="s">
        <v>78</v>
      </c>
      <c r="E39" s="128"/>
      <c r="F39" s="128"/>
      <c r="G39" s="128"/>
      <c r="H39" s="129" t="s">
        <v>42</v>
      </c>
      <c r="I39" s="129"/>
      <c r="J39" s="43">
        <f>S12</f>
        <v>2017</v>
      </c>
      <c r="K39" s="27" t="s">
        <v>76</v>
      </c>
      <c r="L39" s="43">
        <f>U12</f>
        <v>11</v>
      </c>
      <c r="M39" s="27" t="s">
        <v>75</v>
      </c>
      <c r="N39" s="43">
        <f>W12</f>
        <v>1</v>
      </c>
      <c r="O39" s="27" t="s">
        <v>74</v>
      </c>
    </row>
    <row r="40" spans="1:16" ht="18" customHeight="1">
      <c r="A40" s="130" t="s">
        <v>43</v>
      </c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</row>
  </sheetData>
  <mergeCells count="161">
    <mergeCell ref="A37:B37"/>
    <mergeCell ref="A39:C39"/>
    <mergeCell ref="D39:G39"/>
    <mergeCell ref="H39:I39"/>
    <mergeCell ref="A40:P40"/>
    <mergeCell ref="A35:E35"/>
    <mergeCell ref="F35:H35"/>
    <mergeCell ref="I35:N35"/>
    <mergeCell ref="O35:P35"/>
    <mergeCell ref="A36:E36"/>
    <mergeCell ref="F36:P36"/>
    <mergeCell ref="O33:P33"/>
    <mergeCell ref="A34:B34"/>
    <mergeCell ref="C34:E34"/>
    <mergeCell ref="F34:H34"/>
    <mergeCell ref="I34:J34"/>
    <mergeCell ref="K34:L34"/>
    <mergeCell ref="M34:N34"/>
    <mergeCell ref="O34:P34"/>
    <mergeCell ref="A33:B33"/>
    <mergeCell ref="C33:E33"/>
    <mergeCell ref="F33:H33"/>
    <mergeCell ref="I33:J33"/>
    <mergeCell ref="K33:L33"/>
    <mergeCell ref="M33:N33"/>
    <mergeCell ref="O31:P31"/>
    <mergeCell ref="A32:B32"/>
    <mergeCell ref="C32:E32"/>
    <mergeCell ref="F32:H32"/>
    <mergeCell ref="I32:J32"/>
    <mergeCell ref="K32:L32"/>
    <mergeCell ref="M32:N32"/>
    <mergeCell ref="O32:P32"/>
    <mergeCell ref="A31:B31"/>
    <mergeCell ref="C31:E31"/>
    <mergeCell ref="F31:H31"/>
    <mergeCell ref="I31:J31"/>
    <mergeCell ref="K31:L31"/>
    <mergeCell ref="M31:N31"/>
    <mergeCell ref="A28:P28"/>
    <mergeCell ref="A29:B30"/>
    <mergeCell ref="C29:H29"/>
    <mergeCell ref="I29:L29"/>
    <mergeCell ref="M29:N30"/>
    <mergeCell ref="O29:P30"/>
    <mergeCell ref="C30:E30"/>
    <mergeCell ref="F30:H30"/>
    <mergeCell ref="I30:J30"/>
    <mergeCell ref="K30:L30"/>
    <mergeCell ref="O26:P26"/>
    <mergeCell ref="A27:B27"/>
    <mergeCell ref="C27:E27"/>
    <mergeCell ref="F27:H27"/>
    <mergeCell ref="I27:J27"/>
    <mergeCell ref="K27:L27"/>
    <mergeCell ref="M27:N27"/>
    <mergeCell ref="O27:P27"/>
    <mergeCell ref="A26:B26"/>
    <mergeCell ref="C26:E26"/>
    <mergeCell ref="F26:H26"/>
    <mergeCell ref="I26:J26"/>
    <mergeCell ref="K26:L26"/>
    <mergeCell ref="M26:N26"/>
    <mergeCell ref="A25:B25"/>
    <mergeCell ref="C25:E25"/>
    <mergeCell ref="F25:H25"/>
    <mergeCell ref="I25:J25"/>
    <mergeCell ref="K25:L25"/>
    <mergeCell ref="M25:N25"/>
    <mergeCell ref="O25:P25"/>
    <mergeCell ref="A24:B24"/>
    <mergeCell ref="C24:E24"/>
    <mergeCell ref="F24:H24"/>
    <mergeCell ref="I24:J24"/>
    <mergeCell ref="K24:L24"/>
    <mergeCell ref="M24:N24"/>
    <mergeCell ref="A23:B23"/>
    <mergeCell ref="C23:E23"/>
    <mergeCell ref="F23:H23"/>
    <mergeCell ref="I23:J23"/>
    <mergeCell ref="K23:L23"/>
    <mergeCell ref="M23:N23"/>
    <mergeCell ref="O23:P23"/>
    <mergeCell ref="O24:P24"/>
    <mergeCell ref="A22:B22"/>
    <mergeCell ref="C22:E22"/>
    <mergeCell ref="F22:H22"/>
    <mergeCell ref="I22:J22"/>
    <mergeCell ref="K22:L22"/>
    <mergeCell ref="M22:N22"/>
    <mergeCell ref="N19:P19"/>
    <mergeCell ref="A20:B21"/>
    <mergeCell ref="C20:H20"/>
    <mergeCell ref="I20:L20"/>
    <mergeCell ref="M20:N21"/>
    <mergeCell ref="O20:P21"/>
    <mergeCell ref="C21:E21"/>
    <mergeCell ref="F21:H21"/>
    <mergeCell ref="I21:J21"/>
    <mergeCell ref="K21:L21"/>
    <mergeCell ref="O22:P22"/>
    <mergeCell ref="A17:B17"/>
    <mergeCell ref="C17:E17"/>
    <mergeCell ref="F17:H17"/>
    <mergeCell ref="N17:P17"/>
    <mergeCell ref="A18:D18"/>
    <mergeCell ref="E18:F18"/>
    <mergeCell ref="H18:K18"/>
    <mergeCell ref="L18:M18"/>
    <mergeCell ref="A19:D19"/>
    <mergeCell ref="E19:F19"/>
    <mergeCell ref="L19:M19"/>
    <mergeCell ref="A13:D13"/>
    <mergeCell ref="K13:P13"/>
    <mergeCell ref="A14:D14"/>
    <mergeCell ref="K14:P14"/>
    <mergeCell ref="A15:P15"/>
    <mergeCell ref="A16:B16"/>
    <mergeCell ref="C16:D16"/>
    <mergeCell ref="E16:H16"/>
    <mergeCell ref="J16:K16"/>
    <mergeCell ref="L16:M16"/>
    <mergeCell ref="N16:P16"/>
    <mergeCell ref="A11:E11"/>
    <mergeCell ref="F11:I11"/>
    <mergeCell ref="J11:P11"/>
    <mergeCell ref="S11:T11"/>
    <mergeCell ref="A12:E12"/>
    <mergeCell ref="F12:I12"/>
    <mergeCell ref="J12:P12"/>
    <mergeCell ref="B9:G9"/>
    <mergeCell ref="H9:I9"/>
    <mergeCell ref="L9:M9"/>
    <mergeCell ref="S9:AB9"/>
    <mergeCell ref="A10:P10"/>
    <mergeCell ref="S10:T10"/>
    <mergeCell ref="I7:K7"/>
    <mergeCell ref="M7:N7"/>
    <mergeCell ref="X7:Y7"/>
    <mergeCell ref="C8:D8"/>
    <mergeCell ref="E8:F8"/>
    <mergeCell ref="I8:K8"/>
    <mergeCell ref="L8:N8"/>
    <mergeCell ref="S8:T8"/>
    <mergeCell ref="S4:AB4"/>
    <mergeCell ref="B5:H5"/>
    <mergeCell ref="I5:K5"/>
    <mergeCell ref="L5:P5"/>
    <mergeCell ref="S5:AB5"/>
    <mergeCell ref="I6:K6"/>
    <mergeCell ref="L6:P6"/>
    <mergeCell ref="S6:AB6"/>
    <mergeCell ref="A1:P1"/>
    <mergeCell ref="A2:P2"/>
    <mergeCell ref="B3:H3"/>
    <mergeCell ref="I3:K3"/>
    <mergeCell ref="L3:P3"/>
    <mergeCell ref="B4:H4"/>
    <mergeCell ref="I4:K4"/>
    <mergeCell ref="L4:M4"/>
    <mergeCell ref="N4:P4"/>
  </mergeCells>
  <phoneticPr fontId="1" type="noConversion"/>
  <dataValidations count="14">
    <dataValidation type="list" allowBlank="1" showInputMessage="1" showErrorMessage="1" sqref="X7:Y7" xr:uid="{00000000-0002-0000-0000-000000000000}">
      <formula1>"MPa,kPa"</formula1>
    </dataValidation>
    <dataValidation type="list" allowBlank="1" showInputMessage="1" showErrorMessage="1" sqref="S8:T8" xr:uid="{00000000-0002-0000-0000-000001000000}">
      <formula1>"1.0,1.6,2.5,4.0"</formula1>
    </dataValidation>
    <dataValidation type="list" allowBlank="1" showInputMessage="1" showErrorMessage="1" sqref="L5:P5" xr:uid="{00000000-0002-0000-0000-000002000000}">
      <formula1>"本院热工所(压力),现场(车间),现场(实验室)"</formula1>
    </dataValidation>
    <dataValidation type="list" allowBlank="1" showInputMessage="1" showErrorMessage="1" sqref="N9" xr:uid="{00000000-0002-0000-0000-000003000000}">
      <formula1>"45,50,55,60"</formula1>
    </dataValidation>
    <dataValidation type="list" allowBlank="1" showInputMessage="1" showErrorMessage="1" sqref="J9" xr:uid="{00000000-0002-0000-0000-000004000000}">
      <formula1>"20.0,20.5,21.0,21.5,22.0"</formula1>
    </dataValidation>
    <dataValidation type="list" allowBlank="1" showInputMessage="1" showErrorMessage="1" sqref="V7" xr:uid="{00000000-0002-0000-0000-000005000000}">
      <formula1>"0.1,0.16,0.25,0.4,0.6,1,1.6"</formula1>
    </dataValidation>
    <dataValidation type="list" allowBlank="1" showInputMessage="1" showErrorMessage="1" sqref="C6" xr:uid="{00000000-0002-0000-0000-000006000000}">
      <formula1>"-0.1,0"</formula1>
    </dataValidation>
    <dataValidation type="list" allowBlank="1" showInputMessage="1" showErrorMessage="1" sqref="E18:F19 L18:M18" xr:uid="{00000000-0002-0000-0000-000007000000}">
      <formula1>"合格,不合格"</formula1>
    </dataValidation>
    <dataValidation type="list" allowBlank="1" showInputMessage="1" showErrorMessage="1" sqref="S11" xr:uid="{00000000-0002-0000-0000-000008000000}">
      <formula1>"4,5,6"</formula1>
    </dataValidation>
    <dataValidation type="list" allowBlank="1" showInputMessage="1" showErrorMessage="1" sqref="S12" xr:uid="{00000000-0002-0000-0000-000009000000}">
      <formula1>"2017,2018,2019,2020"</formula1>
    </dataValidation>
    <dataValidation type="list" allowBlank="1" showInputMessage="1" showErrorMessage="1" sqref="W12" xr:uid="{00000000-0002-0000-0000-00000A000000}">
      <formula1>"1,2,3,4,5,6,7,8,9,10,11,12,13,14,15,16,17,18,19,20,21,22,23,24,25,26,27,28,29,30,31"</formula1>
    </dataValidation>
    <dataValidation type="list" allowBlank="1" showInputMessage="1" showErrorMessage="1" sqref="U12" xr:uid="{00000000-0002-0000-0000-00000B000000}">
      <formula1>"1,2,3,4,5,6,7,8,9,10,11,12"</formula1>
    </dataValidation>
    <dataValidation type="list" allowBlank="1" showInputMessage="1" showErrorMessage="1" sqref="S10:T10" xr:uid="{00000000-0002-0000-0000-00000C000000}">
      <formula1>"0.005,0.01,0.02,0.04"</formula1>
    </dataValidation>
    <dataValidation type="list" allowBlank="1" showInputMessage="1" showErrorMessage="1" sqref="N4:P4" xr:uid="{00000000-0002-0000-0000-00000D000000}">
      <formula1>"压力表,电接点压力表,耐震压力表,不锈钢压力表,气压表,氩气表,氧气表,"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40"/>
  <sheetViews>
    <sheetView workbookViewId="0">
      <selection activeCell="N4" sqref="N4:P4"/>
    </sheetView>
  </sheetViews>
  <sheetFormatPr defaultRowHeight="15"/>
  <cols>
    <col min="1" max="1" width="12.7109375" customWidth="1"/>
    <col min="2" max="2" width="4.28515625" customWidth="1"/>
    <col min="3" max="3" width="4.42578125" customWidth="1"/>
    <col min="4" max="9" width="5.140625" customWidth="1"/>
    <col min="10" max="10" width="5.85546875" customWidth="1"/>
    <col min="11" max="11" width="4.7109375" customWidth="1"/>
    <col min="12" max="16" width="5.140625" customWidth="1"/>
    <col min="18" max="18" width="12.140625" customWidth="1"/>
    <col min="19" max="28" width="4.5703125" customWidth="1"/>
  </cols>
  <sheetData>
    <row r="1" spans="1:28" ht="18" customHeight="1">
      <c r="A1" s="48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50"/>
      <c r="Q1" s="1"/>
    </row>
    <row r="2" spans="1:28" ht="24.95" customHeight="1" thickBot="1">
      <c r="A2" s="51" t="s">
        <v>1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3"/>
      <c r="Q2" s="1"/>
    </row>
    <row r="3" spans="1:28" ht="18" customHeight="1">
      <c r="A3" s="30" t="s">
        <v>2</v>
      </c>
      <c r="B3" s="54"/>
      <c r="C3" s="54"/>
      <c r="D3" s="54"/>
      <c r="E3" s="54"/>
      <c r="F3" s="54"/>
      <c r="G3" s="54"/>
      <c r="H3" s="54"/>
      <c r="I3" s="55" t="s">
        <v>8</v>
      </c>
      <c r="J3" s="55"/>
      <c r="K3" s="55"/>
      <c r="L3" s="56" t="str">
        <f>S5</f>
        <v>E1710310062_001</v>
      </c>
      <c r="M3" s="57"/>
      <c r="N3" s="57"/>
      <c r="O3" s="57"/>
      <c r="P3" s="58"/>
    </row>
    <row r="4" spans="1:28" ht="18" customHeight="1">
      <c r="A4" s="31" t="s">
        <v>46</v>
      </c>
      <c r="B4" s="59" t="str">
        <f>S4</f>
        <v>安斯泰来制药(中国)有限公司</v>
      </c>
      <c r="C4" s="60"/>
      <c r="D4" s="60"/>
      <c r="E4" s="60"/>
      <c r="F4" s="60"/>
      <c r="G4" s="60"/>
      <c r="H4" s="61"/>
      <c r="I4" s="62" t="s">
        <v>49</v>
      </c>
      <c r="J4" s="62"/>
      <c r="K4" s="62"/>
      <c r="L4" s="63"/>
      <c r="M4" s="64"/>
      <c r="N4" s="65" t="s">
        <v>102</v>
      </c>
      <c r="O4" s="66"/>
      <c r="P4" s="67"/>
      <c r="R4" s="36" t="s">
        <v>94</v>
      </c>
      <c r="S4" s="79" t="s">
        <v>97</v>
      </c>
      <c r="T4" s="80"/>
      <c r="U4" s="80"/>
      <c r="V4" s="80"/>
      <c r="W4" s="80"/>
      <c r="X4" s="80"/>
      <c r="Y4" s="80"/>
      <c r="Z4" s="80"/>
      <c r="AA4" s="80"/>
      <c r="AB4" s="80"/>
    </row>
    <row r="5" spans="1:28" ht="18" customHeight="1">
      <c r="A5" s="31" t="s">
        <v>47</v>
      </c>
      <c r="B5" s="59" t="str">
        <f>S6</f>
        <v>上海减压器厂</v>
      </c>
      <c r="C5" s="60"/>
      <c r="D5" s="60"/>
      <c r="E5" s="60"/>
      <c r="F5" s="60"/>
      <c r="G5" s="60"/>
      <c r="H5" s="61"/>
      <c r="I5" s="62" t="s">
        <v>9</v>
      </c>
      <c r="J5" s="62"/>
      <c r="K5" s="62"/>
      <c r="L5" s="81" t="s">
        <v>62</v>
      </c>
      <c r="M5" s="82"/>
      <c r="N5" s="82"/>
      <c r="O5" s="82"/>
      <c r="P5" s="83"/>
      <c r="R5" s="36" t="s">
        <v>89</v>
      </c>
      <c r="S5" s="79" t="s">
        <v>98</v>
      </c>
      <c r="T5" s="80"/>
      <c r="U5" s="80"/>
      <c r="V5" s="80"/>
      <c r="W5" s="80"/>
      <c r="X5" s="80"/>
      <c r="Y5" s="80"/>
      <c r="Z5" s="80"/>
      <c r="AA5" s="80"/>
      <c r="AB5" s="80"/>
    </row>
    <row r="6" spans="1:28" ht="18" customHeight="1">
      <c r="A6" s="31" t="s">
        <v>3</v>
      </c>
      <c r="B6" s="2" t="s">
        <v>41</v>
      </c>
      <c r="C6" s="13">
        <v>0</v>
      </c>
      <c r="D6" s="13" t="s">
        <v>15</v>
      </c>
      <c r="E6" s="13">
        <f>V7</f>
        <v>10</v>
      </c>
      <c r="F6" s="5" t="s">
        <v>50</v>
      </c>
      <c r="G6" s="21" t="str">
        <f>X7</f>
        <v>MPa</v>
      </c>
      <c r="H6" s="4"/>
      <c r="I6" s="62" t="s">
        <v>55</v>
      </c>
      <c r="J6" s="62"/>
      <c r="K6" s="62"/>
      <c r="L6" s="84" t="s">
        <v>13</v>
      </c>
      <c r="M6" s="84"/>
      <c r="N6" s="84"/>
      <c r="O6" s="84"/>
      <c r="P6" s="85"/>
      <c r="R6" s="36" t="s">
        <v>90</v>
      </c>
      <c r="S6" s="79" t="s">
        <v>99</v>
      </c>
      <c r="T6" s="80"/>
      <c r="U6" s="80"/>
      <c r="V6" s="80"/>
      <c r="W6" s="80"/>
      <c r="X6" s="80"/>
      <c r="Y6" s="80"/>
      <c r="Z6" s="80"/>
      <c r="AA6" s="80"/>
      <c r="AB6" s="80"/>
    </row>
    <row r="7" spans="1:28" ht="18" customHeight="1">
      <c r="A7" s="31" t="s">
        <v>51</v>
      </c>
      <c r="B7" s="2" t="s">
        <v>41</v>
      </c>
      <c r="C7" s="13">
        <f>C6</f>
        <v>0</v>
      </c>
      <c r="D7" s="13" t="s">
        <v>15</v>
      </c>
      <c r="E7" s="13">
        <f>E6</f>
        <v>10</v>
      </c>
      <c r="F7" s="5" t="s">
        <v>50</v>
      </c>
      <c r="G7" s="21" t="str">
        <f>G6</f>
        <v>MPa</v>
      </c>
      <c r="H7" s="4"/>
      <c r="I7" s="62" t="s">
        <v>10</v>
      </c>
      <c r="J7" s="62"/>
      <c r="K7" s="62"/>
      <c r="L7" s="2" t="s">
        <v>54</v>
      </c>
      <c r="M7" s="68">
        <f>(E6-C6)*C8/100</f>
        <v>0.25</v>
      </c>
      <c r="N7" s="63"/>
      <c r="O7" s="21" t="str">
        <f>G6</f>
        <v>MPa</v>
      </c>
      <c r="P7" s="6"/>
      <c r="R7" s="36" t="s">
        <v>91</v>
      </c>
      <c r="S7" s="28" t="s">
        <v>41</v>
      </c>
      <c r="T7" s="15">
        <v>0</v>
      </c>
      <c r="U7" s="15" t="s">
        <v>15</v>
      </c>
      <c r="V7" s="42">
        <v>10</v>
      </c>
      <c r="W7" s="37" t="s">
        <v>50</v>
      </c>
      <c r="X7" s="69" t="s">
        <v>48</v>
      </c>
      <c r="Y7" s="70"/>
      <c r="Z7" s="5"/>
      <c r="AA7" s="5"/>
      <c r="AB7" s="4"/>
    </row>
    <row r="8" spans="1:28" ht="18" customHeight="1">
      <c r="A8" s="31" t="s">
        <v>4</v>
      </c>
      <c r="B8" s="3"/>
      <c r="C8" s="71">
        <f>S8</f>
        <v>2.5</v>
      </c>
      <c r="D8" s="72"/>
      <c r="E8" s="73" t="s">
        <v>38</v>
      </c>
      <c r="F8" s="74"/>
      <c r="G8" s="5"/>
      <c r="H8" s="4"/>
      <c r="I8" s="62" t="s">
        <v>11</v>
      </c>
      <c r="J8" s="62"/>
      <c r="K8" s="62"/>
      <c r="L8" s="75">
        <f>S10</f>
        <v>0.2</v>
      </c>
      <c r="M8" s="75"/>
      <c r="N8" s="76"/>
      <c r="O8" s="21" t="str">
        <f>G6</f>
        <v>MPa</v>
      </c>
      <c r="P8" s="6"/>
      <c r="R8" s="36" t="s">
        <v>92</v>
      </c>
      <c r="S8" s="77">
        <v>2.5</v>
      </c>
      <c r="T8" s="78"/>
      <c r="U8" s="5" t="s">
        <v>38</v>
      </c>
      <c r="V8" s="5"/>
      <c r="W8" s="5"/>
      <c r="X8" s="5"/>
      <c r="Y8" s="5"/>
      <c r="Z8" s="5"/>
      <c r="AA8" s="5"/>
      <c r="AB8" s="4"/>
    </row>
    <row r="9" spans="1:28" ht="18" customHeight="1" thickBot="1">
      <c r="A9" s="32" t="s">
        <v>5</v>
      </c>
      <c r="B9" s="89" t="str">
        <f>S9</f>
        <v>07.7.00236</v>
      </c>
      <c r="C9" s="89"/>
      <c r="D9" s="89"/>
      <c r="E9" s="89"/>
      <c r="F9" s="89"/>
      <c r="G9" s="89"/>
      <c r="H9" s="90" t="s">
        <v>52</v>
      </c>
      <c r="I9" s="91"/>
      <c r="J9" s="44">
        <v>20.5</v>
      </c>
      <c r="K9" s="9" t="s">
        <v>53</v>
      </c>
      <c r="L9" s="90" t="s">
        <v>12</v>
      </c>
      <c r="M9" s="91"/>
      <c r="N9" s="45">
        <v>50</v>
      </c>
      <c r="O9" s="14" t="s">
        <v>14</v>
      </c>
      <c r="P9" s="8"/>
      <c r="R9" s="36" t="s">
        <v>93</v>
      </c>
      <c r="S9" s="79" t="s">
        <v>100</v>
      </c>
      <c r="T9" s="79"/>
      <c r="U9" s="79"/>
      <c r="V9" s="79"/>
      <c r="W9" s="79"/>
      <c r="X9" s="79"/>
      <c r="Y9" s="79"/>
      <c r="Z9" s="79"/>
      <c r="AA9" s="79"/>
      <c r="AB9" s="79"/>
    </row>
    <row r="10" spans="1:28" ht="18" customHeight="1">
      <c r="A10" s="92" t="s">
        <v>101</v>
      </c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4"/>
      <c r="R10" s="39" t="s">
        <v>95</v>
      </c>
      <c r="S10" s="87">
        <v>0.2</v>
      </c>
      <c r="T10" s="88"/>
      <c r="U10" s="38"/>
      <c r="V10" s="38"/>
      <c r="W10" s="38"/>
      <c r="X10" s="38"/>
      <c r="Y10" s="38"/>
      <c r="Z10" s="38"/>
      <c r="AA10" s="38"/>
      <c r="AB10" s="40"/>
    </row>
    <row r="11" spans="1:28" ht="18" customHeight="1">
      <c r="A11" s="86" t="s">
        <v>6</v>
      </c>
      <c r="B11" s="84"/>
      <c r="C11" s="84"/>
      <c r="D11" s="84"/>
      <c r="E11" s="84"/>
      <c r="F11" s="84" t="s">
        <v>4</v>
      </c>
      <c r="G11" s="84"/>
      <c r="H11" s="84"/>
      <c r="I11" s="84"/>
      <c r="J11" s="84" t="s">
        <v>2</v>
      </c>
      <c r="K11" s="84"/>
      <c r="L11" s="84"/>
      <c r="M11" s="84"/>
      <c r="N11" s="84"/>
      <c r="O11" s="84"/>
      <c r="P11" s="85"/>
      <c r="R11" s="36" t="s">
        <v>96</v>
      </c>
      <c r="S11" s="87">
        <v>5</v>
      </c>
      <c r="T11" s="88"/>
      <c r="U11" s="5"/>
      <c r="V11" s="5"/>
      <c r="W11" s="5"/>
      <c r="X11" s="5"/>
      <c r="Y11" s="5"/>
      <c r="Z11" s="5"/>
      <c r="AA11" s="5"/>
      <c r="AB11" s="4"/>
    </row>
    <row r="12" spans="1:28" ht="18" customHeight="1">
      <c r="A12" s="86" t="s">
        <v>7</v>
      </c>
      <c r="B12" s="84"/>
      <c r="C12" s="84"/>
      <c r="D12" s="84"/>
      <c r="E12" s="84"/>
      <c r="F12" s="84" t="s">
        <v>16</v>
      </c>
      <c r="G12" s="84"/>
      <c r="H12" s="84"/>
      <c r="I12" s="84"/>
      <c r="J12" s="84" t="s">
        <v>17</v>
      </c>
      <c r="K12" s="84"/>
      <c r="L12" s="84"/>
      <c r="M12" s="84"/>
      <c r="N12" s="84"/>
      <c r="O12" s="84"/>
      <c r="P12" s="85"/>
      <c r="R12" s="41" t="s">
        <v>42</v>
      </c>
      <c r="S12" s="29">
        <v>2017</v>
      </c>
      <c r="T12" s="15" t="s">
        <v>76</v>
      </c>
      <c r="U12" s="42">
        <v>11</v>
      </c>
      <c r="V12" s="15" t="s">
        <v>75</v>
      </c>
      <c r="W12" s="42">
        <v>1</v>
      </c>
      <c r="X12" s="15" t="s">
        <v>74</v>
      </c>
      <c r="Y12" s="5"/>
      <c r="Z12" s="5"/>
      <c r="AA12" s="5"/>
      <c r="AB12" s="4"/>
    </row>
    <row r="13" spans="1:28" ht="18" customHeight="1">
      <c r="A13" s="95" t="s">
        <v>39</v>
      </c>
      <c r="B13" s="96"/>
      <c r="C13" s="96"/>
      <c r="D13" s="74"/>
      <c r="E13" s="5" t="s">
        <v>56</v>
      </c>
      <c r="F13" s="21" t="s">
        <v>67</v>
      </c>
      <c r="G13" s="5" t="s">
        <v>57</v>
      </c>
      <c r="H13" s="5" t="s">
        <v>66</v>
      </c>
      <c r="I13" s="5" t="s">
        <v>58</v>
      </c>
      <c r="J13" s="5" t="s">
        <v>59</v>
      </c>
      <c r="K13" s="73" t="s">
        <v>60</v>
      </c>
      <c r="L13" s="96"/>
      <c r="M13" s="96"/>
      <c r="N13" s="96"/>
      <c r="O13" s="96"/>
      <c r="P13" s="97"/>
    </row>
    <row r="14" spans="1:28" ht="18" customHeight="1">
      <c r="A14" s="95" t="s">
        <v>40</v>
      </c>
      <c r="B14" s="96"/>
      <c r="C14" s="96"/>
      <c r="D14" s="74"/>
      <c r="E14" s="5" t="s">
        <v>56</v>
      </c>
      <c r="F14" s="21" t="s">
        <v>67</v>
      </c>
      <c r="G14" s="5" t="s">
        <v>57</v>
      </c>
      <c r="H14" s="5" t="s">
        <v>66</v>
      </c>
      <c r="I14" s="5" t="s">
        <v>58</v>
      </c>
      <c r="J14" s="5" t="s">
        <v>59</v>
      </c>
      <c r="K14" s="73" t="s">
        <v>60</v>
      </c>
      <c r="L14" s="96"/>
      <c r="M14" s="96"/>
      <c r="N14" s="96"/>
      <c r="O14" s="96"/>
      <c r="P14" s="97"/>
      <c r="Z14" s="1"/>
    </row>
    <row r="15" spans="1:28" ht="18" customHeight="1">
      <c r="A15" s="95" t="s">
        <v>61</v>
      </c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7"/>
    </row>
    <row r="16" spans="1:28" ht="18" customHeight="1">
      <c r="A16" s="98" t="str">
        <f>IF(X7="MPa","活塞式压力计","便携式数字压力校验仪")</f>
        <v>活塞式压力计</v>
      </c>
      <c r="B16" s="99"/>
      <c r="C16" s="61" t="s">
        <v>63</v>
      </c>
      <c r="D16" s="59"/>
      <c r="E16" s="100" t="str">
        <f>IF((A16="活塞式压力计")*AND(E6&lt;=6),"(0.1～6)MPa",IF(A16="便携式数字压力校验仪","DPI610","(1～60)MPa"))</f>
        <v>(1～60)MPa</v>
      </c>
      <c r="F16" s="101"/>
      <c r="G16" s="101"/>
      <c r="H16" s="99"/>
      <c r="I16" s="5" t="s">
        <v>64</v>
      </c>
      <c r="J16" s="100">
        <f>IF(E16="DPI610","SH61000289",IF(E16="(0.1～6)Mpa",80005,80015))</f>
        <v>80015</v>
      </c>
      <c r="K16" s="99"/>
      <c r="L16" s="61" t="s">
        <v>65</v>
      </c>
      <c r="M16" s="59"/>
      <c r="N16" s="100">
        <f>IF(E16="DPI610","16020541055",IF(E16="(0.1～6)Mpa",16020511568,16020511572))</f>
        <v>16020511572</v>
      </c>
      <c r="O16" s="101"/>
      <c r="P16" s="102"/>
    </row>
    <row r="17" spans="1:21" ht="18" customHeight="1" thickBot="1">
      <c r="A17" s="103" t="s">
        <v>68</v>
      </c>
      <c r="B17" s="104"/>
      <c r="C17" s="105" t="str">
        <f>IF(E16="DPI610","2017-10-11","2018-04-04")</f>
        <v>2018-04-04</v>
      </c>
      <c r="D17" s="106"/>
      <c r="E17" s="107"/>
      <c r="F17" s="108" t="s">
        <v>69</v>
      </c>
      <c r="G17" s="89"/>
      <c r="H17" s="104"/>
      <c r="I17" s="7" t="s">
        <v>56</v>
      </c>
      <c r="J17" s="26" t="s">
        <v>67</v>
      </c>
      <c r="K17" s="7" t="s">
        <v>57</v>
      </c>
      <c r="L17" s="7" t="s">
        <v>70</v>
      </c>
      <c r="M17" s="7" t="s">
        <v>59</v>
      </c>
      <c r="N17" s="109" t="s">
        <v>71</v>
      </c>
      <c r="O17" s="110"/>
      <c r="P17" s="111"/>
    </row>
    <row r="18" spans="1:21" ht="18" customHeight="1">
      <c r="A18" s="112" t="s">
        <v>18</v>
      </c>
      <c r="B18" s="113"/>
      <c r="C18" s="113"/>
      <c r="D18" s="114"/>
      <c r="E18" s="115" t="s">
        <v>26</v>
      </c>
      <c r="F18" s="116"/>
      <c r="G18" s="20"/>
      <c r="H18" s="117" t="s">
        <v>20</v>
      </c>
      <c r="I18" s="117"/>
      <c r="J18" s="117"/>
      <c r="K18" s="117"/>
      <c r="L18" s="115" t="s">
        <v>26</v>
      </c>
      <c r="M18" s="116"/>
      <c r="N18" s="24"/>
      <c r="O18" s="24"/>
      <c r="P18" s="25"/>
    </row>
    <row r="19" spans="1:21" ht="18" customHeight="1">
      <c r="A19" s="86" t="s">
        <v>19</v>
      </c>
      <c r="B19" s="84"/>
      <c r="C19" s="84"/>
      <c r="D19" s="84"/>
      <c r="E19" s="115" t="s">
        <v>72</v>
      </c>
      <c r="F19" s="116"/>
      <c r="G19" s="5"/>
      <c r="H19" s="5"/>
      <c r="I19" s="5"/>
      <c r="J19" s="5"/>
      <c r="K19" s="4"/>
      <c r="L19" s="84" t="s">
        <v>73</v>
      </c>
      <c r="M19" s="84"/>
      <c r="N19" s="119" t="str">
        <f>G6</f>
        <v>MPa</v>
      </c>
      <c r="O19" s="120"/>
      <c r="P19" s="121"/>
    </row>
    <row r="20" spans="1:21" ht="18" customHeight="1">
      <c r="A20" s="86" t="s">
        <v>21</v>
      </c>
      <c r="B20" s="84"/>
      <c r="C20" s="84" t="s">
        <v>44</v>
      </c>
      <c r="D20" s="84"/>
      <c r="E20" s="84"/>
      <c r="F20" s="84"/>
      <c r="G20" s="84"/>
      <c r="H20" s="84"/>
      <c r="I20" s="84" t="s">
        <v>45</v>
      </c>
      <c r="J20" s="84"/>
      <c r="K20" s="84"/>
      <c r="L20" s="84"/>
      <c r="M20" s="122" t="s">
        <v>24</v>
      </c>
      <c r="N20" s="122"/>
      <c r="O20" s="122" t="s">
        <v>25</v>
      </c>
      <c r="P20" s="123"/>
    </row>
    <row r="21" spans="1:21" ht="18" customHeight="1">
      <c r="A21" s="86"/>
      <c r="B21" s="84"/>
      <c r="C21" s="84" t="s">
        <v>22</v>
      </c>
      <c r="D21" s="84"/>
      <c r="E21" s="84"/>
      <c r="F21" s="84" t="s">
        <v>23</v>
      </c>
      <c r="G21" s="84"/>
      <c r="H21" s="84"/>
      <c r="I21" s="84" t="s">
        <v>22</v>
      </c>
      <c r="J21" s="84"/>
      <c r="K21" s="84" t="s">
        <v>23</v>
      </c>
      <c r="L21" s="84"/>
      <c r="M21" s="122"/>
      <c r="N21" s="122"/>
      <c r="O21" s="122"/>
      <c r="P21" s="123"/>
    </row>
    <row r="22" spans="1:21" ht="18" customHeight="1">
      <c r="A22" s="131">
        <f>E6/S11</f>
        <v>2</v>
      </c>
      <c r="B22" s="132"/>
      <c r="C22" s="132">
        <f ca="1">IF(ABS(S22*S29)&lt;=M7,A22+S22*S29,A22)</f>
        <v>2.08</v>
      </c>
      <c r="D22" s="132"/>
      <c r="E22" s="132"/>
      <c r="F22" s="132">
        <f t="shared" ref="F22:F27" ca="1" si="0">C22</f>
        <v>2.08</v>
      </c>
      <c r="G22" s="132"/>
      <c r="H22" s="132"/>
      <c r="I22" s="132">
        <v>0</v>
      </c>
      <c r="J22" s="132"/>
      <c r="K22" s="132">
        <v>0</v>
      </c>
      <c r="L22" s="132"/>
      <c r="M22" s="132">
        <f ca="1">C22-A22</f>
        <v>8.0000000000000071E-2</v>
      </c>
      <c r="N22" s="132"/>
      <c r="O22" s="132">
        <v>0</v>
      </c>
      <c r="P22" s="133"/>
      <c r="R22" t="s">
        <v>81</v>
      </c>
      <c r="S22">
        <f ca="1">IF(ABS(U22)*S29&lt;=M7,U22,0)</f>
        <v>2</v>
      </c>
      <c r="T22" t="s">
        <v>80</v>
      </c>
      <c r="U22">
        <f ca="1">ROUND((RAND()-0.5)*10,0)</f>
        <v>2</v>
      </c>
    </row>
    <row r="23" spans="1:21" ht="18" customHeight="1">
      <c r="A23" s="131">
        <f>A22*2</f>
        <v>4</v>
      </c>
      <c r="B23" s="132"/>
      <c r="C23" s="132">
        <f ca="1">A23+S23*S29</f>
        <v>4.08</v>
      </c>
      <c r="D23" s="132"/>
      <c r="E23" s="132"/>
      <c r="F23" s="132">
        <f t="shared" ca="1" si="0"/>
        <v>4.08</v>
      </c>
      <c r="G23" s="132"/>
      <c r="H23" s="132"/>
      <c r="I23" s="132">
        <v>0</v>
      </c>
      <c r="J23" s="132"/>
      <c r="K23" s="132">
        <v>0</v>
      </c>
      <c r="L23" s="132"/>
      <c r="M23" s="132">
        <f t="shared" ref="M23:M25" ca="1" si="1">C23-A23</f>
        <v>8.0000000000000071E-2</v>
      </c>
      <c r="N23" s="132"/>
      <c r="O23" s="132">
        <v>0</v>
      </c>
      <c r="P23" s="133"/>
      <c r="R23" t="s">
        <v>87</v>
      </c>
      <c r="S23">
        <f ca="1">IF((ABS(S22+U23)*S29)&lt;=M7,S22+U23,S22)</f>
        <v>2</v>
      </c>
      <c r="T23" t="s">
        <v>80</v>
      </c>
      <c r="U23">
        <f ca="1">ROUND((RAND()-0.5)*2,0)</f>
        <v>0</v>
      </c>
    </row>
    <row r="24" spans="1:21" ht="18" customHeight="1">
      <c r="A24" s="131">
        <f>A22*3</f>
        <v>6</v>
      </c>
      <c r="B24" s="132"/>
      <c r="C24" s="132">
        <f ca="1">A24+S24*S29</f>
        <v>6.04</v>
      </c>
      <c r="D24" s="132"/>
      <c r="E24" s="132"/>
      <c r="F24" s="132">
        <f t="shared" ca="1" si="0"/>
        <v>6.04</v>
      </c>
      <c r="G24" s="132"/>
      <c r="H24" s="132"/>
      <c r="I24" s="132">
        <v>0</v>
      </c>
      <c r="J24" s="132"/>
      <c r="K24" s="132">
        <v>0</v>
      </c>
      <c r="L24" s="132"/>
      <c r="M24" s="132">
        <f t="shared" ca="1" si="1"/>
        <v>4.0000000000000036E-2</v>
      </c>
      <c r="N24" s="132"/>
      <c r="O24" s="132">
        <v>0</v>
      </c>
      <c r="P24" s="133"/>
      <c r="R24" t="s">
        <v>83</v>
      </c>
      <c r="S24">
        <f ca="1">IF(ABS(S22+U23+U24)*S29&lt;=M7,S22+U23+U24,S23)</f>
        <v>1</v>
      </c>
      <c r="T24" t="s">
        <v>80</v>
      </c>
      <c r="U24">
        <f ca="1">ROUND((RAND()-0.5)*2,0)</f>
        <v>-1</v>
      </c>
    </row>
    <row r="25" spans="1:21" ht="18" customHeight="1">
      <c r="A25" s="131">
        <f>A22*4</f>
        <v>8</v>
      </c>
      <c r="B25" s="132"/>
      <c r="C25" s="132">
        <f ca="1">A25+S25*S29</f>
        <v>8</v>
      </c>
      <c r="D25" s="132"/>
      <c r="E25" s="132"/>
      <c r="F25" s="132">
        <f t="shared" ca="1" si="0"/>
        <v>8</v>
      </c>
      <c r="G25" s="132"/>
      <c r="H25" s="132"/>
      <c r="I25" s="132">
        <v>0</v>
      </c>
      <c r="J25" s="132"/>
      <c r="K25" s="132">
        <v>0</v>
      </c>
      <c r="L25" s="132"/>
      <c r="M25" s="132">
        <f t="shared" ca="1" si="1"/>
        <v>0</v>
      </c>
      <c r="N25" s="132"/>
      <c r="O25" s="132">
        <v>0</v>
      </c>
      <c r="P25" s="133"/>
      <c r="R25" t="s">
        <v>84</v>
      </c>
      <c r="S25">
        <f ca="1">IF(ABS(S22+U24*2+U23)*S29&lt;=M7,S22+U24*2+U23,S24)</f>
        <v>0</v>
      </c>
    </row>
    <row r="26" spans="1:21" ht="18" customHeight="1">
      <c r="A26" s="131">
        <f>IF(A22*5&lt;=E6,A22*5," ")</f>
        <v>10</v>
      </c>
      <c r="B26" s="132"/>
      <c r="C26" s="132">
        <f ca="1">IF(A22*5&lt;=E6,A26+S26*S29," ")</f>
        <v>10</v>
      </c>
      <c r="D26" s="132"/>
      <c r="E26" s="132"/>
      <c r="F26" s="132">
        <f t="shared" ca="1" si="0"/>
        <v>10</v>
      </c>
      <c r="G26" s="132"/>
      <c r="H26" s="132"/>
      <c r="I26" s="132">
        <f>IF(A22*5&lt;=E6,0," ")</f>
        <v>0</v>
      </c>
      <c r="J26" s="132"/>
      <c r="K26" s="132">
        <f>IF(A22*5&lt;=E6,0," ")</f>
        <v>0</v>
      </c>
      <c r="L26" s="132"/>
      <c r="M26" s="132">
        <f ca="1">IF(A22*5&lt;=E6,C26-A26," ")</f>
        <v>0</v>
      </c>
      <c r="N26" s="132"/>
      <c r="O26" s="132">
        <f>IF(A22*5&lt;=E6,0," ")</f>
        <v>0</v>
      </c>
      <c r="P26" s="133"/>
      <c r="R26" t="s">
        <v>85</v>
      </c>
      <c r="S26">
        <f ca="1">IF(ABS(S22+U23*2+U24*2)*S29&lt;=M7,S22+U23*2+U24*2,S25)</f>
        <v>0</v>
      </c>
    </row>
    <row r="27" spans="1:21" ht="18" customHeight="1">
      <c r="A27" s="131" t="str">
        <f>IF(A22*6&lt;=E6,A22*6," ")</f>
        <v xml:space="preserve"> </v>
      </c>
      <c r="B27" s="132"/>
      <c r="C27" s="132" t="str">
        <f>IF(A22*6&lt;=E6,A27+S27*S29," ")</f>
        <v xml:space="preserve"> </v>
      </c>
      <c r="D27" s="132"/>
      <c r="E27" s="132"/>
      <c r="F27" s="132" t="str">
        <f t="shared" si="0"/>
        <v xml:space="preserve"> </v>
      </c>
      <c r="G27" s="132"/>
      <c r="H27" s="132"/>
      <c r="I27" s="132" t="str">
        <f>IF(A22*6&lt;=E6,0," ")</f>
        <v xml:space="preserve"> </v>
      </c>
      <c r="J27" s="132"/>
      <c r="K27" s="132" t="str">
        <f>IF(A22*6&lt;=E6,0," ")</f>
        <v xml:space="preserve"> </v>
      </c>
      <c r="L27" s="132"/>
      <c r="M27" s="132" t="str">
        <f>IF(A22*6&lt;=E6,C27-A27," ")</f>
        <v xml:space="preserve"> </v>
      </c>
      <c r="N27" s="132"/>
      <c r="O27" s="132" t="str">
        <f>IF(A22*6&lt;=E6,0," ")</f>
        <v xml:space="preserve"> </v>
      </c>
      <c r="P27" s="133"/>
      <c r="R27" t="s">
        <v>86</v>
      </c>
      <c r="S27">
        <f ca="1">IF(ABS(S22+U23*3+U24*2)*S29&lt;=M7,S22+U23*3+U24*2,S26)</f>
        <v>0</v>
      </c>
    </row>
    <row r="28" spans="1:21" ht="18" customHeight="1">
      <c r="A28" s="95" t="s">
        <v>27</v>
      </c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7"/>
    </row>
    <row r="29" spans="1:21" ht="18" customHeight="1">
      <c r="A29" s="86" t="s">
        <v>28</v>
      </c>
      <c r="B29" s="84"/>
      <c r="C29" s="84" t="s">
        <v>29</v>
      </c>
      <c r="D29" s="84"/>
      <c r="E29" s="84"/>
      <c r="F29" s="84"/>
      <c r="G29" s="84"/>
      <c r="H29" s="84"/>
      <c r="I29" s="84" t="s">
        <v>32</v>
      </c>
      <c r="J29" s="84"/>
      <c r="K29" s="84"/>
      <c r="L29" s="84"/>
      <c r="M29" s="84" t="s">
        <v>33</v>
      </c>
      <c r="N29" s="84"/>
      <c r="O29" s="84" t="s">
        <v>34</v>
      </c>
      <c r="P29" s="85"/>
      <c r="R29" t="s">
        <v>82</v>
      </c>
      <c r="S29">
        <f>L8/5</f>
        <v>0.04</v>
      </c>
    </row>
    <row r="30" spans="1:21" ht="18" customHeight="1">
      <c r="A30" s="86"/>
      <c r="B30" s="84"/>
      <c r="C30" s="84" t="s">
        <v>30</v>
      </c>
      <c r="D30" s="84"/>
      <c r="E30" s="84"/>
      <c r="F30" s="84" t="s">
        <v>31</v>
      </c>
      <c r="G30" s="84"/>
      <c r="H30" s="84"/>
      <c r="I30" s="84" t="s">
        <v>22</v>
      </c>
      <c r="J30" s="84"/>
      <c r="K30" s="84" t="s">
        <v>23</v>
      </c>
      <c r="L30" s="84"/>
      <c r="M30" s="84"/>
      <c r="N30" s="84"/>
      <c r="O30" s="84"/>
      <c r="P30" s="85"/>
    </row>
    <row r="31" spans="1:21" ht="18" customHeight="1">
      <c r="A31" s="86"/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5"/>
    </row>
    <row r="32" spans="1:21" ht="18" customHeight="1">
      <c r="A32" s="86"/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5"/>
    </row>
    <row r="33" spans="1:16" ht="18" customHeight="1">
      <c r="A33" s="86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5"/>
    </row>
    <row r="34" spans="1:16" ht="18" customHeight="1">
      <c r="A34" s="86"/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5"/>
    </row>
    <row r="35" spans="1:16" ht="18" customHeight="1">
      <c r="A35" s="86" t="s">
        <v>35</v>
      </c>
      <c r="B35" s="84"/>
      <c r="C35" s="84"/>
      <c r="D35" s="84"/>
      <c r="E35" s="84"/>
      <c r="F35" s="84"/>
      <c r="G35" s="84"/>
      <c r="H35" s="84"/>
      <c r="I35" s="84" t="s">
        <v>36</v>
      </c>
      <c r="J35" s="84"/>
      <c r="K35" s="84"/>
      <c r="L35" s="84"/>
      <c r="M35" s="84"/>
      <c r="N35" s="84"/>
      <c r="O35" s="84"/>
      <c r="P35" s="85"/>
    </row>
    <row r="36" spans="1:16" ht="18" customHeight="1">
      <c r="A36" s="86" t="s">
        <v>37</v>
      </c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5"/>
    </row>
    <row r="37" spans="1:16" ht="18" customHeight="1" thickBot="1">
      <c r="A37" s="126" t="s">
        <v>79</v>
      </c>
      <c r="B37" s="127"/>
      <c r="C37" s="33" t="s">
        <v>88</v>
      </c>
      <c r="D37" s="35">
        <f>C8</f>
        <v>2.5</v>
      </c>
      <c r="E37" s="34" t="s">
        <v>38</v>
      </c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3"/>
    </row>
    <row r="38" spans="1:16" ht="12" customHeight="1">
      <c r="A38" s="12"/>
      <c r="B38" s="12"/>
      <c r="C38" s="10"/>
      <c r="D38" s="10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  <row r="39" spans="1:16" ht="18" customHeight="1">
      <c r="A39" s="128" t="s">
        <v>77</v>
      </c>
      <c r="B39" s="128"/>
      <c r="C39" s="128"/>
      <c r="D39" s="128" t="s">
        <v>78</v>
      </c>
      <c r="E39" s="128"/>
      <c r="F39" s="128"/>
      <c r="G39" s="128"/>
      <c r="H39" s="129" t="s">
        <v>42</v>
      </c>
      <c r="I39" s="129"/>
      <c r="J39" s="43">
        <f>S12</f>
        <v>2017</v>
      </c>
      <c r="K39" s="11" t="s">
        <v>76</v>
      </c>
      <c r="L39" s="43">
        <f>U12</f>
        <v>11</v>
      </c>
      <c r="M39" s="11" t="s">
        <v>75</v>
      </c>
      <c r="N39" s="43">
        <f>W12</f>
        <v>1</v>
      </c>
      <c r="O39" s="11" t="s">
        <v>74</v>
      </c>
    </row>
    <row r="40" spans="1:16" ht="18" customHeight="1">
      <c r="A40" s="130" t="s">
        <v>43</v>
      </c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</row>
  </sheetData>
  <mergeCells count="161">
    <mergeCell ref="S11:T11"/>
    <mergeCell ref="S4:AB4"/>
    <mergeCell ref="S5:AB5"/>
    <mergeCell ref="S6:AB6"/>
    <mergeCell ref="X7:Y7"/>
    <mergeCell ref="S8:T8"/>
    <mergeCell ref="S9:AB9"/>
    <mergeCell ref="B5:H5"/>
    <mergeCell ref="S10:T10"/>
    <mergeCell ref="I5:K5"/>
    <mergeCell ref="I6:K6"/>
    <mergeCell ref="L5:P5"/>
    <mergeCell ref="H9:I9"/>
    <mergeCell ref="L9:M9"/>
    <mergeCell ref="I8:K8"/>
    <mergeCell ref="I7:K7"/>
    <mergeCell ref="M7:N7"/>
    <mergeCell ref="D39:G39"/>
    <mergeCell ref="N4:P4"/>
    <mergeCell ref="L4:M4"/>
    <mergeCell ref="H39:I39"/>
    <mergeCell ref="A40:P40"/>
    <mergeCell ref="B3:H3"/>
    <mergeCell ref="B4:H4"/>
    <mergeCell ref="A39:C39"/>
    <mergeCell ref="A36:E36"/>
    <mergeCell ref="F36:P36"/>
    <mergeCell ref="A37:B37"/>
    <mergeCell ref="O31:P31"/>
    <mergeCell ref="O32:P32"/>
    <mergeCell ref="O33:P33"/>
    <mergeCell ref="O34:P34"/>
    <mergeCell ref="A35:E35"/>
    <mergeCell ref="I35:N35"/>
    <mergeCell ref="O35:P35"/>
    <mergeCell ref="F35:H35"/>
    <mergeCell ref="K31:L31"/>
    <mergeCell ref="K33:L33"/>
    <mergeCell ref="K32:L32"/>
    <mergeCell ref="M31:N31"/>
    <mergeCell ref="M32:N32"/>
    <mergeCell ref="M33:N33"/>
    <mergeCell ref="M34:N34"/>
    <mergeCell ref="F31:H31"/>
    <mergeCell ref="F32:H32"/>
    <mergeCell ref="F33:H33"/>
    <mergeCell ref="F34:H34"/>
    <mergeCell ref="I31:J31"/>
    <mergeCell ref="I32:J32"/>
    <mergeCell ref="I33:J33"/>
    <mergeCell ref="I34:J34"/>
    <mergeCell ref="A31:B31"/>
    <mergeCell ref="A32:B32"/>
    <mergeCell ref="A33:B33"/>
    <mergeCell ref="A34:B34"/>
    <mergeCell ref="C31:E31"/>
    <mergeCell ref="C32:E32"/>
    <mergeCell ref="C33:E33"/>
    <mergeCell ref="C34:E34"/>
    <mergeCell ref="K34:L34"/>
    <mergeCell ref="A28:P28"/>
    <mergeCell ref="A29:B30"/>
    <mergeCell ref="C29:H29"/>
    <mergeCell ref="C30:E30"/>
    <mergeCell ref="F30:H30"/>
    <mergeCell ref="I29:L29"/>
    <mergeCell ref="I30:J30"/>
    <mergeCell ref="K30:L30"/>
    <mergeCell ref="M29:N30"/>
    <mergeCell ref="O29:P30"/>
    <mergeCell ref="O22:P22"/>
    <mergeCell ref="M23:N23"/>
    <mergeCell ref="M24:N24"/>
    <mergeCell ref="M25:N25"/>
    <mergeCell ref="M26:N26"/>
    <mergeCell ref="M27:N27"/>
    <mergeCell ref="O23:P23"/>
    <mergeCell ref="O24:P24"/>
    <mergeCell ref="O25:P25"/>
    <mergeCell ref="O26:P26"/>
    <mergeCell ref="O27:P27"/>
    <mergeCell ref="M20:N21"/>
    <mergeCell ref="C25:E25"/>
    <mergeCell ref="F25:H25"/>
    <mergeCell ref="C26:E26"/>
    <mergeCell ref="C27:E27"/>
    <mergeCell ref="F26:H26"/>
    <mergeCell ref="F27:H27"/>
    <mergeCell ref="A25:B25"/>
    <mergeCell ref="A26:B26"/>
    <mergeCell ref="A27:B27"/>
    <mergeCell ref="I25:J25"/>
    <mergeCell ref="I26:J26"/>
    <mergeCell ref="I27:J27"/>
    <mergeCell ref="K22:L22"/>
    <mergeCell ref="K23:L23"/>
    <mergeCell ref="K24:L24"/>
    <mergeCell ref="K25:L25"/>
    <mergeCell ref="K26:L26"/>
    <mergeCell ref="K27:L27"/>
    <mergeCell ref="O20:P21"/>
    <mergeCell ref="A23:B23"/>
    <mergeCell ref="A24:B24"/>
    <mergeCell ref="I22:J22"/>
    <mergeCell ref="I23:J23"/>
    <mergeCell ref="I24:J24"/>
    <mergeCell ref="M22:N22"/>
    <mergeCell ref="A19:D19"/>
    <mergeCell ref="E19:F19"/>
    <mergeCell ref="L19:M19"/>
    <mergeCell ref="A20:B21"/>
    <mergeCell ref="A22:B22"/>
    <mergeCell ref="C20:H20"/>
    <mergeCell ref="C21:E21"/>
    <mergeCell ref="F21:H21"/>
    <mergeCell ref="I20:L20"/>
    <mergeCell ref="C22:E22"/>
    <mergeCell ref="F22:H22"/>
    <mergeCell ref="C23:E23"/>
    <mergeCell ref="F23:H23"/>
    <mergeCell ref="C24:E24"/>
    <mergeCell ref="F24:H24"/>
    <mergeCell ref="I21:J21"/>
    <mergeCell ref="K21:L21"/>
    <mergeCell ref="A18:D18"/>
    <mergeCell ref="E18:F18"/>
    <mergeCell ref="H18:K18"/>
    <mergeCell ref="L18:M18"/>
    <mergeCell ref="C16:D16"/>
    <mergeCell ref="E16:H16"/>
    <mergeCell ref="J16:K16"/>
    <mergeCell ref="L16:M16"/>
    <mergeCell ref="N16:P16"/>
    <mergeCell ref="A17:B17"/>
    <mergeCell ref="C17:E17"/>
    <mergeCell ref="F17:H17"/>
    <mergeCell ref="N17:P17"/>
    <mergeCell ref="A1:P1"/>
    <mergeCell ref="A2:P2"/>
    <mergeCell ref="I3:K3"/>
    <mergeCell ref="I4:K4"/>
    <mergeCell ref="L3:P3"/>
    <mergeCell ref="N19:P19"/>
    <mergeCell ref="C8:D8"/>
    <mergeCell ref="B9:G9"/>
    <mergeCell ref="A16:B16"/>
    <mergeCell ref="A13:D13"/>
    <mergeCell ref="A14:D14"/>
    <mergeCell ref="A15:P15"/>
    <mergeCell ref="L6:P6"/>
    <mergeCell ref="L8:N8"/>
    <mergeCell ref="K13:P13"/>
    <mergeCell ref="K14:P14"/>
    <mergeCell ref="E8:F8"/>
    <mergeCell ref="A10:P10"/>
    <mergeCell ref="A11:E11"/>
    <mergeCell ref="F11:I11"/>
    <mergeCell ref="J11:P11"/>
    <mergeCell ref="A12:E12"/>
    <mergeCell ref="F12:I12"/>
    <mergeCell ref="J12:P12"/>
  </mergeCells>
  <phoneticPr fontId="1" type="noConversion"/>
  <dataValidations count="14">
    <dataValidation type="list" allowBlank="1" showInputMessage="1" showErrorMessage="1" sqref="U12" xr:uid="{00000000-0002-0000-0100-000000000000}">
      <formula1>"1,2,3,4,5,6,7,8,9,10,11,12"</formula1>
    </dataValidation>
    <dataValidation type="list" allowBlank="1" showInputMessage="1" showErrorMessage="1" sqref="W12" xr:uid="{00000000-0002-0000-0100-000001000000}">
      <formula1>"1,2,3,4,5,6,7,8,9,10,11,12,13,14,15,16,17,18,19,20,21,22,23,24,25,26,27,28,29,30,31"</formula1>
    </dataValidation>
    <dataValidation type="list" allowBlank="1" showInputMessage="1" showErrorMessage="1" sqref="S12" xr:uid="{00000000-0002-0000-0100-000002000000}">
      <formula1>"2017,2018,2019,2020"</formula1>
    </dataValidation>
    <dataValidation type="list" allowBlank="1" showInputMessage="1" showErrorMessage="1" sqref="S11" xr:uid="{00000000-0002-0000-0100-000003000000}">
      <formula1>"4,5,6"</formula1>
    </dataValidation>
    <dataValidation type="list" allowBlank="1" showInputMessage="1" showErrorMessage="1" sqref="E18:F19 L18:M18" xr:uid="{00000000-0002-0000-0100-000004000000}">
      <formula1>"合格,不合格"</formula1>
    </dataValidation>
    <dataValidation type="list" allowBlank="1" showInputMessage="1" showErrorMessage="1" sqref="C6" xr:uid="{00000000-0002-0000-0100-000005000000}">
      <formula1>"-0.1,0"</formula1>
    </dataValidation>
    <dataValidation type="list" allowBlank="1" showInputMessage="1" showErrorMessage="1" sqref="V7" xr:uid="{00000000-0002-0000-0100-000006000000}">
      <formula1>"1,1.6,2.5,4,6,10,16"</formula1>
    </dataValidation>
    <dataValidation type="list" allowBlank="1" showInputMessage="1" showErrorMessage="1" sqref="J9" xr:uid="{00000000-0002-0000-0100-000007000000}">
      <formula1>"20.0,20.5,21.0,21.5,22.0"</formula1>
    </dataValidation>
    <dataValidation type="list" allowBlank="1" showInputMessage="1" showErrorMessage="1" sqref="N9" xr:uid="{00000000-0002-0000-0100-000008000000}">
      <formula1>"45,50,55,60"</formula1>
    </dataValidation>
    <dataValidation type="list" allowBlank="1" showInputMessage="1" showErrorMessage="1" sqref="L5:P5" xr:uid="{00000000-0002-0000-0100-000009000000}">
      <formula1>"本院热工所(压力),现场(车间),现场(实验室)"</formula1>
    </dataValidation>
    <dataValidation type="list" allowBlank="1" showInputMessage="1" showErrorMessage="1" sqref="S10" xr:uid="{00000000-0002-0000-0100-00000A000000}">
      <formula1>"0.05,0.1,0.2,0.4"</formula1>
    </dataValidation>
    <dataValidation type="list" allowBlank="1" showInputMessage="1" showErrorMessage="1" sqref="S8:T8" xr:uid="{00000000-0002-0000-0100-00000B000000}">
      <formula1>"1.0,1.6,2.5,4.0"</formula1>
    </dataValidation>
    <dataValidation type="list" allowBlank="1" showInputMessage="1" showErrorMessage="1" sqref="X7:Y7" xr:uid="{00000000-0002-0000-0100-00000C000000}">
      <formula1>"MPa,kPa"</formula1>
    </dataValidation>
    <dataValidation type="list" allowBlank="1" showInputMessage="1" showErrorMessage="1" sqref="N4:P4" xr:uid="{00000000-0002-0000-0100-00000D000000}">
      <formula1>"压力表,电接点压力表,耐震压力表,不锈钢压力表,气压表,氩气表,氧气表,"</formula1>
    </dataValidation>
  </dataValidations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40"/>
  <sheetViews>
    <sheetView tabSelected="1" workbookViewId="0">
      <selection activeCell="L3" sqref="L3:P3"/>
    </sheetView>
  </sheetViews>
  <sheetFormatPr defaultRowHeight="15"/>
  <cols>
    <col min="1" max="1" width="12.7109375" customWidth="1"/>
    <col min="2" max="2" width="4.28515625" customWidth="1"/>
    <col min="3" max="3" width="4.42578125" customWidth="1"/>
    <col min="4" max="9" width="5.140625" customWidth="1"/>
    <col min="10" max="10" width="5.85546875" customWidth="1"/>
    <col min="11" max="11" width="4.7109375" customWidth="1"/>
    <col min="12" max="16" width="5.140625" customWidth="1"/>
    <col min="18" max="18" width="12.140625" customWidth="1"/>
    <col min="19" max="28" width="4.5703125" customWidth="1"/>
  </cols>
  <sheetData>
    <row r="1" spans="1:28" ht="18" customHeight="1">
      <c r="A1" s="48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50"/>
      <c r="Q1" s="1"/>
    </row>
    <row r="2" spans="1:28" ht="24.95" customHeight="1" thickBot="1">
      <c r="A2" s="51" t="s">
        <v>1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3"/>
      <c r="Q2" s="1"/>
    </row>
    <row r="3" spans="1:28" ht="18" customHeight="1">
      <c r="A3" s="30" t="s">
        <v>2</v>
      </c>
      <c r="B3" s="54"/>
      <c r="C3" s="54"/>
      <c r="D3" s="54"/>
      <c r="E3" s="54"/>
      <c r="F3" s="54"/>
      <c r="G3" s="54"/>
      <c r="H3" s="54"/>
      <c r="I3" s="55" t="s">
        <v>8</v>
      </c>
      <c r="J3" s="55"/>
      <c r="K3" s="55"/>
      <c r="L3" s="56" t="str">
        <f>S5</f>
        <v>E1710310062_001</v>
      </c>
      <c r="M3" s="57"/>
      <c r="N3" s="57"/>
      <c r="O3" s="57"/>
      <c r="P3" s="58"/>
    </row>
    <row r="4" spans="1:28" ht="18" customHeight="1">
      <c r="A4" s="31" t="s">
        <v>46</v>
      </c>
      <c r="B4" s="59" t="str">
        <f>S4</f>
        <v>安斯泰来制药(中国)有限公司</v>
      </c>
      <c r="C4" s="60"/>
      <c r="D4" s="60"/>
      <c r="E4" s="60"/>
      <c r="F4" s="60"/>
      <c r="G4" s="60"/>
      <c r="H4" s="61"/>
      <c r="I4" s="62" t="s">
        <v>49</v>
      </c>
      <c r="J4" s="62"/>
      <c r="K4" s="62"/>
      <c r="L4" s="63"/>
      <c r="M4" s="64"/>
      <c r="N4" s="65" t="s">
        <v>102</v>
      </c>
      <c r="O4" s="66"/>
      <c r="P4" s="67"/>
      <c r="R4" s="36" t="s">
        <v>94</v>
      </c>
      <c r="S4" s="79" t="s">
        <v>97</v>
      </c>
      <c r="T4" s="80"/>
      <c r="U4" s="80"/>
      <c r="V4" s="80"/>
      <c r="W4" s="80"/>
      <c r="X4" s="80"/>
      <c r="Y4" s="80"/>
      <c r="Z4" s="80"/>
      <c r="AA4" s="80"/>
      <c r="AB4" s="80"/>
    </row>
    <row r="5" spans="1:28" ht="18" customHeight="1">
      <c r="A5" s="31" t="s">
        <v>47</v>
      </c>
      <c r="B5" s="59" t="str">
        <f>S6</f>
        <v>上海减压器厂</v>
      </c>
      <c r="C5" s="60"/>
      <c r="D5" s="60"/>
      <c r="E5" s="60"/>
      <c r="F5" s="60"/>
      <c r="G5" s="60"/>
      <c r="H5" s="61"/>
      <c r="I5" s="62" t="s">
        <v>9</v>
      </c>
      <c r="J5" s="62"/>
      <c r="K5" s="62"/>
      <c r="L5" s="81" t="s">
        <v>62</v>
      </c>
      <c r="M5" s="82"/>
      <c r="N5" s="82"/>
      <c r="O5" s="82"/>
      <c r="P5" s="83"/>
      <c r="R5" s="36" t="s">
        <v>89</v>
      </c>
      <c r="S5" s="79" t="s">
        <v>98</v>
      </c>
      <c r="T5" s="80"/>
      <c r="U5" s="80"/>
      <c r="V5" s="80"/>
      <c r="W5" s="80"/>
      <c r="X5" s="80"/>
      <c r="Y5" s="80"/>
      <c r="Z5" s="80"/>
      <c r="AA5" s="80"/>
      <c r="AB5" s="80"/>
    </row>
    <row r="6" spans="1:28" ht="18" customHeight="1">
      <c r="A6" s="31" t="s">
        <v>3</v>
      </c>
      <c r="B6" s="28" t="s">
        <v>41</v>
      </c>
      <c r="C6" s="15">
        <v>0</v>
      </c>
      <c r="D6" s="15" t="s">
        <v>15</v>
      </c>
      <c r="E6" s="15">
        <f>V7</f>
        <v>60</v>
      </c>
      <c r="F6" s="5" t="s">
        <v>50</v>
      </c>
      <c r="G6" s="21" t="str">
        <f>X7</f>
        <v>MPa</v>
      </c>
      <c r="H6" s="4"/>
      <c r="I6" s="62" t="s">
        <v>55</v>
      </c>
      <c r="J6" s="62"/>
      <c r="K6" s="62"/>
      <c r="L6" s="84" t="s">
        <v>13</v>
      </c>
      <c r="M6" s="84"/>
      <c r="N6" s="84"/>
      <c r="O6" s="84"/>
      <c r="P6" s="85"/>
      <c r="R6" s="36" t="s">
        <v>90</v>
      </c>
      <c r="S6" s="79" t="s">
        <v>99</v>
      </c>
      <c r="T6" s="80"/>
      <c r="U6" s="80"/>
      <c r="V6" s="80"/>
      <c r="W6" s="80"/>
      <c r="X6" s="80"/>
      <c r="Y6" s="80"/>
      <c r="Z6" s="80"/>
      <c r="AA6" s="80"/>
      <c r="AB6" s="80"/>
    </row>
    <row r="7" spans="1:28" ht="18" customHeight="1">
      <c r="A7" s="31" t="s">
        <v>51</v>
      </c>
      <c r="B7" s="28" t="s">
        <v>41</v>
      </c>
      <c r="C7" s="15">
        <f>C6</f>
        <v>0</v>
      </c>
      <c r="D7" s="15" t="s">
        <v>15</v>
      </c>
      <c r="E7" s="15">
        <f>E6</f>
        <v>60</v>
      </c>
      <c r="F7" s="5" t="s">
        <v>50</v>
      </c>
      <c r="G7" s="21" t="str">
        <f>G6</f>
        <v>MPa</v>
      </c>
      <c r="H7" s="4"/>
      <c r="I7" s="62" t="s">
        <v>10</v>
      </c>
      <c r="J7" s="62"/>
      <c r="K7" s="62"/>
      <c r="L7" s="28" t="s">
        <v>54</v>
      </c>
      <c r="M7" s="68">
        <f>(E6-C6)*C8/100</f>
        <v>0.96</v>
      </c>
      <c r="N7" s="63"/>
      <c r="O7" s="21" t="str">
        <f>G6</f>
        <v>MPa</v>
      </c>
      <c r="P7" s="6"/>
      <c r="R7" s="36" t="s">
        <v>91</v>
      </c>
      <c r="S7" s="28" t="s">
        <v>41</v>
      </c>
      <c r="T7" s="15">
        <v>0</v>
      </c>
      <c r="U7" s="15" t="s">
        <v>15</v>
      </c>
      <c r="V7" s="42">
        <v>60</v>
      </c>
      <c r="W7" s="37" t="s">
        <v>50</v>
      </c>
      <c r="X7" s="69" t="s">
        <v>48</v>
      </c>
      <c r="Y7" s="70"/>
      <c r="Z7" s="5"/>
      <c r="AA7" s="5"/>
      <c r="AB7" s="4"/>
    </row>
    <row r="8" spans="1:28" ht="18" customHeight="1">
      <c r="A8" s="31" t="s">
        <v>4</v>
      </c>
      <c r="B8" s="3"/>
      <c r="C8" s="71">
        <f>S8</f>
        <v>1.6</v>
      </c>
      <c r="D8" s="72"/>
      <c r="E8" s="73" t="s">
        <v>38</v>
      </c>
      <c r="F8" s="74"/>
      <c r="G8" s="5"/>
      <c r="H8" s="4"/>
      <c r="I8" s="62" t="s">
        <v>11</v>
      </c>
      <c r="J8" s="62"/>
      <c r="K8" s="62"/>
      <c r="L8" s="75">
        <f>S10</f>
        <v>2</v>
      </c>
      <c r="M8" s="75"/>
      <c r="N8" s="76"/>
      <c r="O8" s="21" t="str">
        <f>G6</f>
        <v>MPa</v>
      </c>
      <c r="P8" s="6"/>
      <c r="R8" s="36" t="s">
        <v>92</v>
      </c>
      <c r="S8" s="77">
        <v>1.6</v>
      </c>
      <c r="T8" s="78"/>
      <c r="U8" s="5" t="s">
        <v>38</v>
      </c>
      <c r="V8" s="5"/>
      <c r="W8" s="5"/>
      <c r="X8" s="5"/>
      <c r="Y8" s="5"/>
      <c r="Z8" s="5"/>
      <c r="AA8" s="5"/>
      <c r="AB8" s="4"/>
    </row>
    <row r="9" spans="1:28" ht="18" customHeight="1" thickBot="1">
      <c r="A9" s="32" t="s">
        <v>5</v>
      </c>
      <c r="B9" s="89" t="str">
        <f>S9</f>
        <v>07.7.00236</v>
      </c>
      <c r="C9" s="89"/>
      <c r="D9" s="89"/>
      <c r="E9" s="89"/>
      <c r="F9" s="89"/>
      <c r="G9" s="89"/>
      <c r="H9" s="90" t="s">
        <v>52</v>
      </c>
      <c r="I9" s="91"/>
      <c r="J9" s="44">
        <v>20.5</v>
      </c>
      <c r="K9" s="9" t="s">
        <v>53</v>
      </c>
      <c r="L9" s="90" t="s">
        <v>12</v>
      </c>
      <c r="M9" s="91"/>
      <c r="N9" s="45">
        <v>50</v>
      </c>
      <c r="O9" s="16" t="s">
        <v>14</v>
      </c>
      <c r="P9" s="8"/>
      <c r="R9" s="36" t="s">
        <v>93</v>
      </c>
      <c r="S9" s="79" t="s">
        <v>100</v>
      </c>
      <c r="T9" s="79"/>
      <c r="U9" s="79"/>
      <c r="V9" s="79"/>
      <c r="W9" s="79"/>
      <c r="X9" s="79"/>
      <c r="Y9" s="79"/>
      <c r="Z9" s="79"/>
      <c r="AA9" s="79"/>
      <c r="AB9" s="79"/>
    </row>
    <row r="10" spans="1:28" ht="18" customHeight="1">
      <c r="A10" s="92" t="s">
        <v>101</v>
      </c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4"/>
      <c r="R10" s="39" t="s">
        <v>95</v>
      </c>
      <c r="S10" s="87">
        <v>2</v>
      </c>
      <c r="T10" s="88"/>
      <c r="U10" s="38"/>
      <c r="V10" s="38"/>
      <c r="W10" s="38"/>
      <c r="X10" s="38"/>
      <c r="Y10" s="38"/>
      <c r="Z10" s="38"/>
      <c r="AA10" s="38"/>
      <c r="AB10" s="40"/>
    </row>
    <row r="11" spans="1:28" ht="18" customHeight="1">
      <c r="A11" s="86" t="s">
        <v>6</v>
      </c>
      <c r="B11" s="84"/>
      <c r="C11" s="84"/>
      <c r="D11" s="84"/>
      <c r="E11" s="84"/>
      <c r="F11" s="84" t="s">
        <v>4</v>
      </c>
      <c r="G11" s="84"/>
      <c r="H11" s="84"/>
      <c r="I11" s="84"/>
      <c r="J11" s="84" t="s">
        <v>2</v>
      </c>
      <c r="K11" s="84"/>
      <c r="L11" s="84"/>
      <c r="M11" s="84"/>
      <c r="N11" s="84"/>
      <c r="O11" s="84"/>
      <c r="P11" s="85"/>
      <c r="R11" s="36" t="s">
        <v>96</v>
      </c>
      <c r="S11" s="87">
        <v>6</v>
      </c>
      <c r="T11" s="88"/>
      <c r="U11" s="5"/>
      <c r="V11" s="5"/>
      <c r="W11" s="5"/>
      <c r="X11" s="5"/>
      <c r="Y11" s="5"/>
      <c r="Z11" s="5"/>
      <c r="AA11" s="5"/>
      <c r="AB11" s="4"/>
    </row>
    <row r="12" spans="1:28" ht="18" customHeight="1">
      <c r="A12" s="86" t="s">
        <v>7</v>
      </c>
      <c r="B12" s="84"/>
      <c r="C12" s="84"/>
      <c r="D12" s="84"/>
      <c r="E12" s="84"/>
      <c r="F12" s="84" t="s">
        <v>16</v>
      </c>
      <c r="G12" s="84"/>
      <c r="H12" s="84"/>
      <c r="I12" s="84"/>
      <c r="J12" s="84" t="s">
        <v>17</v>
      </c>
      <c r="K12" s="84"/>
      <c r="L12" s="84"/>
      <c r="M12" s="84"/>
      <c r="N12" s="84"/>
      <c r="O12" s="84"/>
      <c r="P12" s="85"/>
      <c r="R12" s="41" t="s">
        <v>42</v>
      </c>
      <c r="S12" s="29">
        <v>2017</v>
      </c>
      <c r="T12" s="15" t="s">
        <v>76</v>
      </c>
      <c r="U12" s="42">
        <v>11</v>
      </c>
      <c r="V12" s="15" t="s">
        <v>75</v>
      </c>
      <c r="W12" s="42">
        <v>1</v>
      </c>
      <c r="X12" s="15" t="s">
        <v>74</v>
      </c>
      <c r="Y12" s="5"/>
      <c r="Z12" s="5"/>
      <c r="AA12" s="5"/>
      <c r="AB12" s="4"/>
    </row>
    <row r="13" spans="1:28" ht="18" customHeight="1">
      <c r="A13" s="95" t="s">
        <v>39</v>
      </c>
      <c r="B13" s="96"/>
      <c r="C13" s="96"/>
      <c r="D13" s="74"/>
      <c r="E13" s="5" t="s">
        <v>56</v>
      </c>
      <c r="F13" s="21" t="s">
        <v>67</v>
      </c>
      <c r="G13" s="5" t="s">
        <v>57</v>
      </c>
      <c r="H13" s="5" t="s">
        <v>66</v>
      </c>
      <c r="I13" s="5" t="s">
        <v>58</v>
      </c>
      <c r="J13" s="5" t="s">
        <v>59</v>
      </c>
      <c r="K13" s="73" t="s">
        <v>60</v>
      </c>
      <c r="L13" s="96"/>
      <c r="M13" s="96"/>
      <c r="N13" s="96"/>
      <c r="O13" s="96"/>
      <c r="P13" s="97"/>
    </row>
    <row r="14" spans="1:28" ht="18" customHeight="1">
      <c r="A14" s="95" t="s">
        <v>40</v>
      </c>
      <c r="B14" s="96"/>
      <c r="C14" s="96"/>
      <c r="D14" s="74"/>
      <c r="E14" s="5" t="s">
        <v>56</v>
      </c>
      <c r="F14" s="21" t="s">
        <v>67</v>
      </c>
      <c r="G14" s="5" t="s">
        <v>57</v>
      </c>
      <c r="H14" s="5" t="s">
        <v>66</v>
      </c>
      <c r="I14" s="5" t="s">
        <v>58</v>
      </c>
      <c r="J14" s="5" t="s">
        <v>59</v>
      </c>
      <c r="K14" s="73" t="s">
        <v>60</v>
      </c>
      <c r="L14" s="96"/>
      <c r="M14" s="96"/>
      <c r="N14" s="96"/>
      <c r="O14" s="96"/>
      <c r="P14" s="97"/>
      <c r="Z14" s="1"/>
    </row>
    <row r="15" spans="1:28" ht="18" customHeight="1">
      <c r="A15" s="95" t="s">
        <v>61</v>
      </c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7"/>
    </row>
    <row r="16" spans="1:28" ht="18" customHeight="1">
      <c r="A16" s="98" t="str">
        <f>IF(X7="MPa","活塞式压力计","便携式数字压力校验仪")</f>
        <v>活塞式压力计</v>
      </c>
      <c r="B16" s="99"/>
      <c r="C16" s="145" t="s">
        <v>63</v>
      </c>
      <c r="D16" s="146"/>
      <c r="E16" s="147" t="str">
        <f>IF((A16="活塞式压力计")*AND(E6&lt;=60),"(1～60)MPa",IF(A16="便携式数字压力校验仪","DPI610","(10～400)MPa"))</f>
        <v>(1～60)MPa</v>
      </c>
      <c r="F16" s="148"/>
      <c r="G16" s="148"/>
      <c r="H16" s="149"/>
      <c r="I16" s="46" t="s">
        <v>64</v>
      </c>
      <c r="J16" s="147" t="str">
        <f>IF(E16="DPI610","SH61000289",IF(E16="(1～60)MPa","80015","14-012"))</f>
        <v>80015</v>
      </c>
      <c r="K16" s="149"/>
      <c r="L16" s="150" t="s">
        <v>65</v>
      </c>
      <c r="M16" s="146"/>
      <c r="N16" s="147" t="str">
        <f>IF(E16="DPI610","16020541055",IF(E16="(1～60)MPa","16020511572","15020543269"))</f>
        <v>16020511572</v>
      </c>
      <c r="O16" s="148"/>
      <c r="P16" s="151"/>
    </row>
    <row r="17" spans="1:21" ht="18" customHeight="1" thickBot="1">
      <c r="A17" s="137" t="s">
        <v>68</v>
      </c>
      <c r="B17" s="138"/>
      <c r="C17" s="139" t="str">
        <f>IF(E16="DPI610","2017-10-11",IF(E16="(1～60)MPa","2018-04-04","2017-07-18"))</f>
        <v>2018-04-04</v>
      </c>
      <c r="D17" s="140"/>
      <c r="E17" s="138"/>
      <c r="F17" s="141" t="s">
        <v>69</v>
      </c>
      <c r="G17" s="140"/>
      <c r="H17" s="138"/>
      <c r="I17" s="47" t="s">
        <v>56</v>
      </c>
      <c r="J17" s="47" t="s">
        <v>67</v>
      </c>
      <c r="K17" s="47" t="s">
        <v>57</v>
      </c>
      <c r="L17" s="47" t="s">
        <v>70</v>
      </c>
      <c r="M17" s="47" t="s">
        <v>59</v>
      </c>
      <c r="N17" s="142" t="s">
        <v>71</v>
      </c>
      <c r="O17" s="143"/>
      <c r="P17" s="144"/>
    </row>
    <row r="18" spans="1:21" ht="18" customHeight="1">
      <c r="A18" s="112" t="s">
        <v>18</v>
      </c>
      <c r="B18" s="113"/>
      <c r="C18" s="113"/>
      <c r="D18" s="114"/>
      <c r="E18" s="115" t="s">
        <v>26</v>
      </c>
      <c r="F18" s="116"/>
      <c r="G18" s="20"/>
      <c r="H18" s="117" t="s">
        <v>20</v>
      </c>
      <c r="I18" s="117"/>
      <c r="J18" s="117"/>
      <c r="K18" s="117"/>
      <c r="L18" s="115" t="s">
        <v>26</v>
      </c>
      <c r="M18" s="116"/>
      <c r="N18" s="24"/>
      <c r="O18" s="24"/>
      <c r="P18" s="25"/>
    </row>
    <row r="19" spans="1:21" ht="18" customHeight="1">
      <c r="A19" s="86" t="s">
        <v>19</v>
      </c>
      <c r="B19" s="84"/>
      <c r="C19" s="84"/>
      <c r="D19" s="84"/>
      <c r="E19" s="115" t="s">
        <v>72</v>
      </c>
      <c r="F19" s="116"/>
      <c r="G19" s="5"/>
      <c r="H19" s="5"/>
      <c r="I19" s="5"/>
      <c r="J19" s="5"/>
      <c r="K19" s="4"/>
      <c r="L19" s="84" t="s">
        <v>73</v>
      </c>
      <c r="M19" s="84"/>
      <c r="N19" s="119" t="str">
        <f>G6</f>
        <v>MPa</v>
      </c>
      <c r="O19" s="120"/>
      <c r="P19" s="121"/>
    </row>
    <row r="20" spans="1:21" ht="18" customHeight="1">
      <c r="A20" s="86" t="s">
        <v>21</v>
      </c>
      <c r="B20" s="84"/>
      <c r="C20" s="84" t="s">
        <v>44</v>
      </c>
      <c r="D20" s="84"/>
      <c r="E20" s="84"/>
      <c r="F20" s="84"/>
      <c r="G20" s="84"/>
      <c r="H20" s="84"/>
      <c r="I20" s="84" t="s">
        <v>45</v>
      </c>
      <c r="J20" s="84"/>
      <c r="K20" s="84"/>
      <c r="L20" s="84"/>
      <c r="M20" s="122" t="s">
        <v>24</v>
      </c>
      <c r="N20" s="122"/>
      <c r="O20" s="122" t="s">
        <v>25</v>
      </c>
      <c r="P20" s="123"/>
    </row>
    <row r="21" spans="1:21" ht="18" customHeight="1">
      <c r="A21" s="86"/>
      <c r="B21" s="84"/>
      <c r="C21" s="84" t="s">
        <v>22</v>
      </c>
      <c r="D21" s="84"/>
      <c r="E21" s="84"/>
      <c r="F21" s="84" t="s">
        <v>23</v>
      </c>
      <c r="G21" s="84"/>
      <c r="H21" s="84"/>
      <c r="I21" s="84" t="s">
        <v>22</v>
      </c>
      <c r="J21" s="84"/>
      <c r="K21" s="84" t="s">
        <v>23</v>
      </c>
      <c r="L21" s="84"/>
      <c r="M21" s="122"/>
      <c r="N21" s="122"/>
      <c r="O21" s="122"/>
      <c r="P21" s="123"/>
    </row>
    <row r="22" spans="1:21" ht="18" customHeight="1">
      <c r="A22" s="136">
        <f>E6/S11</f>
        <v>10</v>
      </c>
      <c r="B22" s="134"/>
      <c r="C22" s="134">
        <f ca="1">IF(ABS(S22*S29)&lt;=M7,A22+S22*S29,A22)</f>
        <v>10.8</v>
      </c>
      <c r="D22" s="134"/>
      <c r="E22" s="134"/>
      <c r="F22" s="134">
        <f t="shared" ref="F22:F27" ca="1" si="0">C22</f>
        <v>10.8</v>
      </c>
      <c r="G22" s="134"/>
      <c r="H22" s="134"/>
      <c r="I22" s="134">
        <v>0</v>
      </c>
      <c r="J22" s="134"/>
      <c r="K22" s="134">
        <v>0</v>
      </c>
      <c r="L22" s="134"/>
      <c r="M22" s="134">
        <f ca="1">C22-A22</f>
        <v>0.80000000000000071</v>
      </c>
      <c r="N22" s="134"/>
      <c r="O22" s="134">
        <v>0</v>
      </c>
      <c r="P22" s="135"/>
      <c r="R22" t="s">
        <v>81</v>
      </c>
      <c r="S22">
        <f ca="1">IF(ABS(U22)*S29&lt;=M7,U22,0)</f>
        <v>2</v>
      </c>
      <c r="T22" t="s">
        <v>80</v>
      </c>
      <c r="U22">
        <f ca="1">ROUND((RAND()-0.5)*10,0)</f>
        <v>2</v>
      </c>
    </row>
    <row r="23" spans="1:21" ht="18" customHeight="1">
      <c r="A23" s="136">
        <f>A22*2</f>
        <v>20</v>
      </c>
      <c r="B23" s="134"/>
      <c r="C23" s="134">
        <f ca="1">A23+S23*S29</f>
        <v>20.8</v>
      </c>
      <c r="D23" s="134"/>
      <c r="E23" s="134"/>
      <c r="F23" s="134">
        <f t="shared" ca="1" si="0"/>
        <v>20.8</v>
      </c>
      <c r="G23" s="134"/>
      <c r="H23" s="134"/>
      <c r="I23" s="134">
        <v>0</v>
      </c>
      <c r="J23" s="134"/>
      <c r="K23" s="134">
        <v>0</v>
      </c>
      <c r="L23" s="134"/>
      <c r="M23" s="134">
        <f t="shared" ref="M23:M25" ca="1" si="1">C23-A23</f>
        <v>0.80000000000000071</v>
      </c>
      <c r="N23" s="134"/>
      <c r="O23" s="134">
        <v>0</v>
      </c>
      <c r="P23" s="135"/>
      <c r="R23" t="s">
        <v>87</v>
      </c>
      <c r="S23">
        <f ca="1">IF((ABS(S22+U23)*S29)&lt;=M7,S22+U23,S22)</f>
        <v>2</v>
      </c>
      <c r="T23" t="s">
        <v>80</v>
      </c>
      <c r="U23">
        <f ca="1">ROUND((RAND()-0.5)*2,0)</f>
        <v>0</v>
      </c>
    </row>
    <row r="24" spans="1:21" ht="18" customHeight="1">
      <c r="A24" s="136">
        <f>A22*3</f>
        <v>30</v>
      </c>
      <c r="B24" s="134"/>
      <c r="C24" s="134">
        <f ca="1">A24+S24*S29</f>
        <v>30.8</v>
      </c>
      <c r="D24" s="134"/>
      <c r="E24" s="134"/>
      <c r="F24" s="134">
        <f t="shared" ca="1" si="0"/>
        <v>30.8</v>
      </c>
      <c r="G24" s="134"/>
      <c r="H24" s="134"/>
      <c r="I24" s="134">
        <v>0</v>
      </c>
      <c r="J24" s="134"/>
      <c r="K24" s="134">
        <v>0</v>
      </c>
      <c r="L24" s="134"/>
      <c r="M24" s="134">
        <f t="shared" ca="1" si="1"/>
        <v>0.80000000000000071</v>
      </c>
      <c r="N24" s="134"/>
      <c r="O24" s="134">
        <v>0</v>
      </c>
      <c r="P24" s="135"/>
      <c r="R24" t="s">
        <v>83</v>
      </c>
      <c r="S24">
        <f ca="1">IF(ABS(S22+U23+U24)*S29&lt;=M7,S22+U23+U24,S23)</f>
        <v>2</v>
      </c>
      <c r="T24" t="s">
        <v>80</v>
      </c>
      <c r="U24">
        <f ca="1">ROUND((RAND()-0.5)*2,0)</f>
        <v>0</v>
      </c>
    </row>
    <row r="25" spans="1:21" ht="18" customHeight="1">
      <c r="A25" s="136">
        <f>A22*4</f>
        <v>40</v>
      </c>
      <c r="B25" s="134"/>
      <c r="C25" s="134">
        <f ca="1">A25+S25*S29</f>
        <v>40.799999999999997</v>
      </c>
      <c r="D25" s="134"/>
      <c r="E25" s="134"/>
      <c r="F25" s="134">
        <f t="shared" ca="1" si="0"/>
        <v>40.799999999999997</v>
      </c>
      <c r="G25" s="134"/>
      <c r="H25" s="134"/>
      <c r="I25" s="134">
        <v>0</v>
      </c>
      <c r="J25" s="134"/>
      <c r="K25" s="134">
        <v>0</v>
      </c>
      <c r="L25" s="134"/>
      <c r="M25" s="134">
        <f t="shared" ca="1" si="1"/>
        <v>0.79999999999999716</v>
      </c>
      <c r="N25" s="134"/>
      <c r="O25" s="134">
        <v>0</v>
      </c>
      <c r="P25" s="135"/>
      <c r="R25" t="s">
        <v>84</v>
      </c>
      <c r="S25">
        <f ca="1">IF(ABS(S22+U24*2+U23)*S29&lt;=M7,S22+U24*2+U23,S24)</f>
        <v>2</v>
      </c>
    </row>
    <row r="26" spans="1:21" ht="18" customHeight="1">
      <c r="A26" s="136">
        <f>IF(A22*5&lt;=E6,A22*5," ")</f>
        <v>50</v>
      </c>
      <c r="B26" s="134"/>
      <c r="C26" s="134">
        <f ca="1">IF(A22*5&lt;=E6,A26+S26*S29," ")</f>
        <v>50.8</v>
      </c>
      <c r="D26" s="134"/>
      <c r="E26" s="134"/>
      <c r="F26" s="134">
        <f t="shared" ca="1" si="0"/>
        <v>50.8</v>
      </c>
      <c r="G26" s="134"/>
      <c r="H26" s="134"/>
      <c r="I26" s="134">
        <f>IF(A22*5&lt;=E6,0," ")</f>
        <v>0</v>
      </c>
      <c r="J26" s="134"/>
      <c r="K26" s="134">
        <f>IF(A22*5&lt;=E6,0," ")</f>
        <v>0</v>
      </c>
      <c r="L26" s="134"/>
      <c r="M26" s="134">
        <f ca="1">IF(A22*5&lt;=E6,C26-A26," ")</f>
        <v>0.79999999999999716</v>
      </c>
      <c r="N26" s="134"/>
      <c r="O26" s="134">
        <f>IF(A22*5&lt;=E6,0," ")</f>
        <v>0</v>
      </c>
      <c r="P26" s="135"/>
      <c r="R26" t="s">
        <v>85</v>
      </c>
      <c r="S26">
        <f ca="1">IF(ABS(S22+U23*2+U24*2)*S29&lt;=M7,S22+U23*2+U24*2,S25)</f>
        <v>2</v>
      </c>
    </row>
    <row r="27" spans="1:21" ht="18" customHeight="1">
      <c r="A27" s="136">
        <f>IF(A22*6&lt;=E6,A22*6," ")</f>
        <v>60</v>
      </c>
      <c r="B27" s="134"/>
      <c r="C27" s="134">
        <f ca="1">IF(A22*6&lt;=E6,A27+S27*S29," ")</f>
        <v>60.8</v>
      </c>
      <c r="D27" s="134"/>
      <c r="E27" s="134"/>
      <c r="F27" s="134">
        <f t="shared" ca="1" si="0"/>
        <v>60.8</v>
      </c>
      <c r="G27" s="134"/>
      <c r="H27" s="134"/>
      <c r="I27" s="134">
        <f>IF(A22*6&lt;=E6,0," ")</f>
        <v>0</v>
      </c>
      <c r="J27" s="134"/>
      <c r="K27" s="134">
        <f>IF(A22*6&lt;=E6,0," ")</f>
        <v>0</v>
      </c>
      <c r="L27" s="134"/>
      <c r="M27" s="134">
        <f ca="1">IF(A22*6&lt;=E6,C27-A27," ")</f>
        <v>0.79999999999999716</v>
      </c>
      <c r="N27" s="134"/>
      <c r="O27" s="134">
        <f>IF(A22*6&lt;=E6,0," ")</f>
        <v>0</v>
      </c>
      <c r="P27" s="135"/>
      <c r="R27" t="s">
        <v>86</v>
      </c>
      <c r="S27">
        <f ca="1">IF(ABS(S22+U23*3+U24*2)*S29&lt;=M7,S22+U23*3+U24*2,S26)</f>
        <v>2</v>
      </c>
    </row>
    <row r="28" spans="1:21" ht="18" customHeight="1">
      <c r="A28" s="95" t="s">
        <v>27</v>
      </c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7"/>
    </row>
    <row r="29" spans="1:21" ht="18" customHeight="1">
      <c r="A29" s="86" t="s">
        <v>28</v>
      </c>
      <c r="B29" s="84"/>
      <c r="C29" s="84" t="s">
        <v>29</v>
      </c>
      <c r="D29" s="84"/>
      <c r="E29" s="84"/>
      <c r="F29" s="84"/>
      <c r="G29" s="84"/>
      <c r="H29" s="84"/>
      <c r="I29" s="84" t="s">
        <v>32</v>
      </c>
      <c r="J29" s="84"/>
      <c r="K29" s="84"/>
      <c r="L29" s="84"/>
      <c r="M29" s="84" t="s">
        <v>33</v>
      </c>
      <c r="N29" s="84"/>
      <c r="O29" s="84" t="s">
        <v>34</v>
      </c>
      <c r="P29" s="85"/>
      <c r="R29" t="s">
        <v>82</v>
      </c>
      <c r="S29">
        <f>L8/5</f>
        <v>0.4</v>
      </c>
    </row>
    <row r="30" spans="1:21" ht="18" customHeight="1">
      <c r="A30" s="86"/>
      <c r="B30" s="84"/>
      <c r="C30" s="84" t="s">
        <v>30</v>
      </c>
      <c r="D30" s="84"/>
      <c r="E30" s="84"/>
      <c r="F30" s="84" t="s">
        <v>31</v>
      </c>
      <c r="G30" s="84"/>
      <c r="H30" s="84"/>
      <c r="I30" s="84" t="s">
        <v>22</v>
      </c>
      <c r="J30" s="84"/>
      <c r="K30" s="84" t="s">
        <v>23</v>
      </c>
      <c r="L30" s="84"/>
      <c r="M30" s="84"/>
      <c r="N30" s="84"/>
      <c r="O30" s="84"/>
      <c r="P30" s="85"/>
    </row>
    <row r="31" spans="1:21" ht="18" customHeight="1">
      <c r="A31" s="86"/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5"/>
    </row>
    <row r="32" spans="1:21" ht="18" customHeight="1">
      <c r="A32" s="86"/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5"/>
    </row>
    <row r="33" spans="1:16" ht="18" customHeight="1">
      <c r="A33" s="86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5"/>
    </row>
    <row r="34" spans="1:16" ht="18" customHeight="1">
      <c r="A34" s="86"/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5"/>
    </row>
    <row r="35" spans="1:16" ht="18" customHeight="1">
      <c r="A35" s="86" t="s">
        <v>35</v>
      </c>
      <c r="B35" s="84"/>
      <c r="C35" s="84"/>
      <c r="D35" s="84"/>
      <c r="E35" s="84"/>
      <c r="F35" s="84"/>
      <c r="G35" s="84"/>
      <c r="H35" s="84"/>
      <c r="I35" s="84" t="s">
        <v>36</v>
      </c>
      <c r="J35" s="84"/>
      <c r="K35" s="84"/>
      <c r="L35" s="84"/>
      <c r="M35" s="84"/>
      <c r="N35" s="84"/>
      <c r="O35" s="84"/>
      <c r="P35" s="85"/>
    </row>
    <row r="36" spans="1:16" ht="18" customHeight="1">
      <c r="A36" s="86" t="s">
        <v>37</v>
      </c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5"/>
    </row>
    <row r="37" spans="1:16" ht="18" customHeight="1" thickBot="1">
      <c r="A37" s="126" t="s">
        <v>79</v>
      </c>
      <c r="B37" s="127"/>
      <c r="C37" s="33" t="s">
        <v>88</v>
      </c>
      <c r="D37" s="35">
        <f>C8</f>
        <v>1.6</v>
      </c>
      <c r="E37" s="34" t="s">
        <v>38</v>
      </c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3"/>
    </row>
    <row r="38" spans="1:16" ht="18" customHeight="1">
      <c r="A38" s="18"/>
      <c r="B38" s="18"/>
      <c r="C38" s="17"/>
      <c r="D38" s="17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  <row r="39" spans="1:16" ht="18" customHeight="1">
      <c r="A39" s="128" t="s">
        <v>77</v>
      </c>
      <c r="B39" s="128"/>
      <c r="C39" s="128"/>
      <c r="D39" s="128" t="s">
        <v>78</v>
      </c>
      <c r="E39" s="128"/>
      <c r="F39" s="128"/>
      <c r="G39" s="128"/>
      <c r="H39" s="129" t="s">
        <v>42</v>
      </c>
      <c r="I39" s="129"/>
      <c r="J39" s="43">
        <f>S12</f>
        <v>2017</v>
      </c>
      <c r="K39" s="27" t="s">
        <v>76</v>
      </c>
      <c r="L39" s="43">
        <f>U12</f>
        <v>11</v>
      </c>
      <c r="M39" s="27" t="s">
        <v>75</v>
      </c>
      <c r="N39" s="43">
        <f>W12</f>
        <v>1</v>
      </c>
      <c r="O39" s="27" t="s">
        <v>74</v>
      </c>
    </row>
    <row r="40" spans="1:16" ht="18" customHeight="1">
      <c r="A40" s="130" t="s">
        <v>43</v>
      </c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</row>
  </sheetData>
  <mergeCells count="161">
    <mergeCell ref="S4:AB4"/>
    <mergeCell ref="B5:H5"/>
    <mergeCell ref="S5:AB5"/>
    <mergeCell ref="S6:AB6"/>
    <mergeCell ref="X7:Y7"/>
    <mergeCell ref="S8:T8"/>
    <mergeCell ref="S9:AB9"/>
    <mergeCell ref="S10:T10"/>
    <mergeCell ref="S11:T11"/>
    <mergeCell ref="I5:K5"/>
    <mergeCell ref="L5:P5"/>
    <mergeCell ref="I6:K6"/>
    <mergeCell ref="L6:P6"/>
    <mergeCell ref="I7:K7"/>
    <mergeCell ref="M7:N7"/>
    <mergeCell ref="A10:P10"/>
    <mergeCell ref="A11:E11"/>
    <mergeCell ref="F11:I11"/>
    <mergeCell ref="J11:P11"/>
    <mergeCell ref="A1:P1"/>
    <mergeCell ref="A2:P2"/>
    <mergeCell ref="B3:H3"/>
    <mergeCell ref="I3:K3"/>
    <mergeCell ref="L3:P3"/>
    <mergeCell ref="B4:H4"/>
    <mergeCell ref="I4:K4"/>
    <mergeCell ref="L4:M4"/>
    <mergeCell ref="N4:P4"/>
    <mergeCell ref="A12:E12"/>
    <mergeCell ref="F12:I12"/>
    <mergeCell ref="J12:P12"/>
    <mergeCell ref="C8:D8"/>
    <mergeCell ref="E8:F8"/>
    <mergeCell ref="I8:K8"/>
    <mergeCell ref="L8:N8"/>
    <mergeCell ref="B9:G9"/>
    <mergeCell ref="H9:I9"/>
    <mergeCell ref="L9:M9"/>
    <mergeCell ref="A13:D13"/>
    <mergeCell ref="K13:P13"/>
    <mergeCell ref="A14:D14"/>
    <mergeCell ref="K14:P14"/>
    <mergeCell ref="A15:P15"/>
    <mergeCell ref="A16:B16"/>
    <mergeCell ref="C16:D16"/>
    <mergeCell ref="E16:H16"/>
    <mergeCell ref="J16:K16"/>
    <mergeCell ref="L16:M16"/>
    <mergeCell ref="N16:P16"/>
    <mergeCell ref="A17:B17"/>
    <mergeCell ref="C17:E17"/>
    <mergeCell ref="F17:H17"/>
    <mergeCell ref="N17:P17"/>
    <mergeCell ref="A18:D18"/>
    <mergeCell ref="E18:F18"/>
    <mergeCell ref="H18:K18"/>
    <mergeCell ref="L18:M18"/>
    <mergeCell ref="A19:D19"/>
    <mergeCell ref="E19:F19"/>
    <mergeCell ref="L19:M19"/>
    <mergeCell ref="A20:B21"/>
    <mergeCell ref="C20:H20"/>
    <mergeCell ref="I20:L20"/>
    <mergeCell ref="M20:N21"/>
    <mergeCell ref="M22:N22"/>
    <mergeCell ref="N19:P19"/>
    <mergeCell ref="O20:P21"/>
    <mergeCell ref="C21:E21"/>
    <mergeCell ref="F21:H21"/>
    <mergeCell ref="I21:J21"/>
    <mergeCell ref="K21:L21"/>
    <mergeCell ref="O22:P22"/>
    <mergeCell ref="A23:B23"/>
    <mergeCell ref="C23:E23"/>
    <mergeCell ref="F23:H23"/>
    <mergeCell ref="I23:J23"/>
    <mergeCell ref="K23:L23"/>
    <mergeCell ref="M23:N23"/>
    <mergeCell ref="O23:P23"/>
    <mergeCell ref="O24:P24"/>
    <mergeCell ref="A22:B22"/>
    <mergeCell ref="C22:E22"/>
    <mergeCell ref="F22:H22"/>
    <mergeCell ref="I22:J22"/>
    <mergeCell ref="K22:L22"/>
    <mergeCell ref="A25:B25"/>
    <mergeCell ref="C25:E25"/>
    <mergeCell ref="F25:H25"/>
    <mergeCell ref="I25:J25"/>
    <mergeCell ref="K25:L25"/>
    <mergeCell ref="M25:N25"/>
    <mergeCell ref="O25:P25"/>
    <mergeCell ref="A24:B24"/>
    <mergeCell ref="C24:E24"/>
    <mergeCell ref="F24:H24"/>
    <mergeCell ref="I24:J24"/>
    <mergeCell ref="K24:L24"/>
    <mergeCell ref="M24:N24"/>
    <mergeCell ref="O26:P26"/>
    <mergeCell ref="A27:B27"/>
    <mergeCell ref="C27:E27"/>
    <mergeCell ref="F27:H27"/>
    <mergeCell ref="I27:J27"/>
    <mergeCell ref="K27:L27"/>
    <mergeCell ref="M27:N27"/>
    <mergeCell ref="O27:P27"/>
    <mergeCell ref="A26:B26"/>
    <mergeCell ref="C26:E26"/>
    <mergeCell ref="F26:H26"/>
    <mergeCell ref="I26:J26"/>
    <mergeCell ref="K26:L26"/>
    <mergeCell ref="M26:N26"/>
    <mergeCell ref="A28:P28"/>
    <mergeCell ref="A29:B30"/>
    <mergeCell ref="C29:H29"/>
    <mergeCell ref="I29:L29"/>
    <mergeCell ref="M29:N30"/>
    <mergeCell ref="O29:P30"/>
    <mergeCell ref="C30:E30"/>
    <mergeCell ref="F30:H30"/>
    <mergeCell ref="I30:J30"/>
    <mergeCell ref="K30:L30"/>
    <mergeCell ref="O31:P31"/>
    <mergeCell ref="A32:B32"/>
    <mergeCell ref="C32:E32"/>
    <mergeCell ref="F32:H32"/>
    <mergeCell ref="I32:J32"/>
    <mergeCell ref="K32:L32"/>
    <mergeCell ref="M32:N32"/>
    <mergeCell ref="O32:P32"/>
    <mergeCell ref="A31:B31"/>
    <mergeCell ref="C31:E31"/>
    <mergeCell ref="F31:H31"/>
    <mergeCell ref="I31:J31"/>
    <mergeCell ref="K31:L31"/>
    <mergeCell ref="M31:N31"/>
    <mergeCell ref="A37:B37"/>
    <mergeCell ref="A39:C39"/>
    <mergeCell ref="D39:G39"/>
    <mergeCell ref="H39:I39"/>
    <mergeCell ref="A40:P40"/>
    <mergeCell ref="A35:E35"/>
    <mergeCell ref="F35:H35"/>
    <mergeCell ref="I35:N35"/>
    <mergeCell ref="O35:P35"/>
    <mergeCell ref="A36:E36"/>
    <mergeCell ref="F36:P36"/>
    <mergeCell ref="A34:B34"/>
    <mergeCell ref="C34:E34"/>
    <mergeCell ref="F34:H34"/>
    <mergeCell ref="I34:J34"/>
    <mergeCell ref="K34:L34"/>
    <mergeCell ref="M34:N34"/>
    <mergeCell ref="O34:P34"/>
    <mergeCell ref="A33:B33"/>
    <mergeCell ref="C33:E33"/>
    <mergeCell ref="F33:H33"/>
    <mergeCell ref="I33:J33"/>
    <mergeCell ref="K33:L33"/>
    <mergeCell ref="M33:N33"/>
    <mergeCell ref="O33:P33"/>
  </mergeCells>
  <phoneticPr fontId="1" type="noConversion"/>
  <dataValidations count="14">
    <dataValidation type="list" allowBlank="1" showInputMessage="1" showErrorMessage="1" sqref="X7:Y7" xr:uid="{00000000-0002-0000-0200-000000000000}">
      <formula1>"MPa,kPa"</formula1>
    </dataValidation>
    <dataValidation type="list" allowBlank="1" showInputMessage="1" showErrorMessage="1" sqref="S8:T8" xr:uid="{00000000-0002-0000-0200-000001000000}">
      <formula1>"1.0,1.6,2.5,4.0"</formula1>
    </dataValidation>
    <dataValidation type="list" allowBlank="1" showInputMessage="1" showErrorMessage="1" sqref="L5:P5" xr:uid="{00000000-0002-0000-0200-000002000000}">
      <formula1>"本院热工所(压力),现场(车间),现场(实验室)"</formula1>
    </dataValidation>
    <dataValidation type="list" allowBlank="1" showInputMessage="1" showErrorMessage="1" sqref="N9" xr:uid="{00000000-0002-0000-0200-000003000000}">
      <formula1>"45,50,55,60"</formula1>
    </dataValidation>
    <dataValidation type="list" allowBlank="1" showInputMessage="1" showErrorMessage="1" sqref="J9" xr:uid="{00000000-0002-0000-0200-000004000000}">
      <formula1>"20.0,20.5,21.0,21.5,22.0"</formula1>
    </dataValidation>
    <dataValidation type="list" allowBlank="1" showInputMessage="1" showErrorMessage="1" sqref="V7" xr:uid="{00000000-0002-0000-0200-000005000000}">
      <formula1>"10,16,25,40,60,100,160"</formula1>
    </dataValidation>
    <dataValidation type="list" allowBlank="1" showInputMessage="1" showErrorMessage="1" sqref="C6" xr:uid="{00000000-0002-0000-0200-000006000000}">
      <formula1>"-0.1,0"</formula1>
    </dataValidation>
    <dataValidation type="list" allowBlank="1" showInputMessage="1" showErrorMessage="1" sqref="E18:F19 L18:M18" xr:uid="{00000000-0002-0000-0200-000007000000}">
      <formula1>"合格,不合格"</formula1>
    </dataValidation>
    <dataValidation type="list" allowBlank="1" showInputMessage="1" showErrorMessage="1" sqref="S11" xr:uid="{00000000-0002-0000-0200-000008000000}">
      <formula1>"4,5,6"</formula1>
    </dataValidation>
    <dataValidation type="list" allowBlank="1" showInputMessage="1" showErrorMessage="1" sqref="S12" xr:uid="{00000000-0002-0000-0200-000009000000}">
      <formula1>"2017,2018,2019,2020"</formula1>
    </dataValidation>
    <dataValidation type="list" allowBlank="1" showInputMessage="1" showErrorMessage="1" sqref="W12" xr:uid="{00000000-0002-0000-0200-00000A000000}">
      <formula1>"1,2,3,4,5,6,7,8,9,10,11,12,13,14,15,16,17,18,19,20,21,22,23,24,25,26,27,28,29,30,31"</formula1>
    </dataValidation>
    <dataValidation type="list" allowBlank="1" showInputMessage="1" showErrorMessage="1" sqref="U12" xr:uid="{00000000-0002-0000-0200-00000B000000}">
      <formula1>"1,2,3,4,5,6,7,8,9,10,11,12"</formula1>
    </dataValidation>
    <dataValidation type="list" allowBlank="1" showInputMessage="1" showErrorMessage="1" sqref="S10:T10" xr:uid="{00000000-0002-0000-0200-00000C000000}">
      <formula1>"0.5,1,2,4"</formula1>
    </dataValidation>
    <dataValidation type="list" allowBlank="1" showInputMessage="1" showErrorMessage="1" sqref="N4:P4" xr:uid="{00000000-0002-0000-0200-00000D000000}">
      <formula1>"压力表,电接点压力表,耐震压力表,不锈钢压力表,气压表,氩气表,氧气表,"</formula1>
    </dataValidation>
  </dataValidations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mode1</vt:lpstr>
      <vt:lpstr>mode2</vt:lpstr>
      <vt:lpstr>mode3</vt:lpstr>
      <vt:lpstr>mode1!Print_Area</vt:lpstr>
      <vt:lpstr>mode2!Print_Area</vt:lpstr>
      <vt:lpstr>mode3!Print_Area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2018-09-08T05:40:36Z</dcterms:modified>
</cp:coreProperties>
</file>